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Kalendarz" sheetId="2" state="visible" r:id="rId2"/>
    <sheet xmlns:r="http://schemas.openxmlformats.org/officeDocument/2006/relationships" name="Ustawienia" sheetId="3" state="visible" r:id="rId3"/>
    <sheet xmlns:r="http://schemas.openxmlformats.org/officeDocument/2006/relationships" name="Wymiar czasu pracy" sheetId="4" state="visible" r:id="rId4"/>
    <sheet xmlns:r="http://schemas.openxmlformats.org/officeDocument/2006/relationships" name="Grafik" sheetId="5" state="visible" r:id="rId5"/>
  </sheets>
  <definedNames>
    <definedName name="Rok">Ustawienia!$B$3</definedName>
    <definedName name="Etat">Ustawienia!$B$4</definedName>
    <definedName name="LimitNieobecnych">Ustawienia!$B$5</definedName>
    <definedName name="SwietaUstawowe">Ustawienia!$B$9:$B$22</definedName>
    <definedName name="DniDodatkowe">Ustawienia!$B$27:$B$36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.mm.yyyy"/>
    <numFmt numFmtId="165" formatCode="dddd"/>
    <numFmt numFmtId="166" formatCode="0.0"/>
    <numFmt numFmtId="167" formatCode="mmmm"/>
    <numFmt numFmtId="168" formatCode="d"/>
    <numFmt numFmtId="169" formatCode="mmmm yyyy"/>
    <numFmt numFmtId="170" formatCode="ddd"/>
  </numFmts>
  <fonts count="21">
    <font>
      <name val="Calibri"/>
      <family val="2"/>
      <color theme="1"/>
      <sz val="11"/>
      <scheme val="minor"/>
    </font>
    <font>
      <b val="1"/>
      <color rgb="0014532D"/>
      <sz val="16"/>
    </font>
    <font>
      <b val="1"/>
      <color rgb="0014532D"/>
    </font>
    <font>
      <b val="1"/>
    </font>
    <font>
      <i val="1"/>
      <color rgb="0064748B"/>
    </font>
    <font>
      <b val="1"/>
      <color rgb="00FFFFFF"/>
    </font>
    <font>
      <b val="1"/>
      <color rgb="0014532D"/>
      <sz val="20"/>
    </font>
    <font>
      <sz val="9"/>
    </font>
    <font>
      <b val="1"/>
      <color rgb="00FFFFFF"/>
      <sz val="12"/>
    </font>
    <font>
      <b val="1"/>
      <color rgb="00334155"/>
    </font>
    <font>
      <b val="1"/>
      <color rgb="00991B1B"/>
    </font>
    <font>
      <b val="1"/>
      <color rgb="00166534"/>
      <sz val="9"/>
    </font>
    <font>
      <b val="1"/>
      <color rgb="0014532D"/>
      <sz val="12"/>
    </font>
    <font>
      <color rgb="0094A3B8"/>
      <sz val="8"/>
    </font>
    <font>
      <color rgb="00FFFFFF"/>
      <sz val="8"/>
    </font>
    <font>
      <color rgb="00CBD5E1"/>
      <sz val="8"/>
    </font>
    <font>
      <color rgb="0064748B"/>
      <sz val="9"/>
    </font>
    <font>
      <b val="1"/>
      <color rgb="00166534"/>
    </font>
    <font>
      <b val="1"/>
      <color rgb="009A3412"/>
    </font>
    <font>
      <b val="1"/>
      <color rgb="001E3A8A"/>
    </font>
    <font>
      <b val="1"/>
      <color rgb="005B21B6"/>
    </font>
  </fonts>
  <fills count="17">
    <fill>
      <patternFill/>
    </fill>
    <fill>
      <patternFill patternType="gray125"/>
    </fill>
    <fill>
      <patternFill patternType="solid">
        <fgColor rgb="00FEF9C3"/>
        <bgColor rgb="00FEF9C3"/>
      </patternFill>
    </fill>
    <fill>
      <patternFill patternType="solid">
        <fgColor rgb="00217346"/>
        <bgColor rgb="00217346"/>
      </patternFill>
    </fill>
    <fill>
      <patternFill patternType="solid">
        <fgColor rgb="00B45309"/>
        <bgColor rgb="00B45309"/>
      </patternFill>
    </fill>
    <fill>
      <patternFill patternType="solid">
        <fgColor rgb="00FFFBEB"/>
        <bgColor rgb="00FFFBEB"/>
      </patternFill>
    </fill>
    <fill>
      <patternFill patternType="solid">
        <fgColor rgb="00DCFCE7"/>
        <bgColor rgb="00DCFCE7"/>
      </patternFill>
    </fill>
    <fill>
      <patternFill patternType="solid">
        <fgColor rgb="00FECACA"/>
        <bgColor rgb="00FECACA"/>
      </patternFill>
    </fill>
    <fill>
      <patternFill patternType="solid">
        <fgColor rgb="00FEF3C7"/>
        <bgColor rgb="00FEF3C7"/>
      </patternFill>
    </fill>
    <fill>
      <patternFill patternType="solid">
        <fgColor rgb="00E2E8F0"/>
        <bgColor rgb="00E2E8F0"/>
      </patternFill>
    </fill>
    <fill>
      <patternFill patternType="solid">
        <fgColor rgb="00BFDBFE"/>
        <bgColor rgb="00BFDBFE"/>
      </patternFill>
    </fill>
    <fill>
      <patternFill patternType="solid">
        <fgColor rgb="00F1F5F9"/>
        <bgColor rgb="00F1F5F9"/>
      </patternFill>
    </fill>
    <fill>
      <patternFill patternType="solid">
        <fgColor rgb="0014532D"/>
        <bgColor rgb="0014532D"/>
      </patternFill>
    </fill>
    <fill>
      <patternFill patternType="solid">
        <fgColor rgb="00BBF7D0"/>
        <bgColor rgb="00BBF7D0"/>
      </patternFill>
    </fill>
    <fill>
      <patternFill patternType="solid">
        <fgColor rgb="0086EFAC"/>
        <bgColor rgb="0086EFAC"/>
      </patternFill>
    </fill>
    <fill>
      <patternFill patternType="solid">
        <fgColor rgb="00FED7AA"/>
        <bgColor rgb="00FED7AA"/>
      </patternFill>
    </fill>
    <fill>
      <patternFill patternType="solid">
        <fgColor rgb="00DDD6FE"/>
        <bgColor rgb="00DDD6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3" fillId="0" borderId="0" pivotButton="0" quotePrefix="0" xfId="0"/>
    <xf numFmtId="0" fontId="7" fillId="7" borderId="0" applyAlignment="1" pivotButton="0" quotePrefix="0" xfId="0">
      <alignment horizontal="center" vertical="center"/>
    </xf>
    <xf numFmtId="0" fontId="7" fillId="8" borderId="0" applyAlignment="1" pivotButton="0" quotePrefix="0" xfId="0">
      <alignment horizontal="center" vertical="center"/>
    </xf>
    <xf numFmtId="0" fontId="7" fillId="9" borderId="0" applyAlignment="1" pivotButton="0" quotePrefix="0" xfId="0">
      <alignment horizontal="center" vertical="center"/>
    </xf>
    <xf numFmtId="0" fontId="7" fillId="10" borderId="0" applyAlignment="1" pivotButton="0" quotePrefix="0" xfId="0">
      <alignment horizontal="center" vertical="center"/>
    </xf>
    <xf numFmtId="167" fontId="8" fillId="3" borderId="0" applyAlignment="1" pivotButton="0" quotePrefix="0" xfId="0">
      <alignment horizontal="center" vertical="center"/>
    </xf>
    <xf numFmtId="0" fontId="9" fillId="11" borderId="0" applyAlignment="1" pivotButton="0" quotePrefix="0" xfId="0">
      <alignment horizontal="center" vertical="center"/>
    </xf>
    <xf numFmtId="0" fontId="10" fillId="11" borderId="0" applyAlignment="1" pivotButton="0" quotePrefix="0" xfId="0">
      <alignment horizontal="center" vertical="center"/>
    </xf>
    <xf numFmtId="168" fontId="0" fillId="0" borderId="1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5" fillId="4" borderId="1" applyAlignment="1" pivotButton="0" quotePrefix="0" xfId="0">
      <alignment horizontal="center" vertical="center"/>
    </xf>
    <xf numFmtId="0" fontId="0" fillId="5" borderId="1" pivotButton="0" quotePrefix="0" xfId="0"/>
    <xf numFmtId="164" fontId="0" fillId="5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pivotButton="0" quotePrefix="0" xfId="0"/>
    <xf numFmtId="0" fontId="0" fillId="0" borderId="1" applyAlignment="1" pivotButton="0" quotePrefix="0" xfId="0">
      <alignment horizontal="center" vertical="center"/>
    </xf>
    <xf numFmtId="166" fontId="0" fillId="0" borderId="1" applyAlignment="1" pivotButton="0" quotePrefix="0" xfId="0">
      <alignment horizontal="center" vertical="center"/>
    </xf>
    <xf numFmtId="0" fontId="3" fillId="6" borderId="1" pivotButton="0" quotePrefix="0" xfId="0"/>
    <xf numFmtId="0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9" fontId="12" fillId="0" borderId="0" pivotButton="0" quotePrefix="0" xfId="0"/>
    <xf numFmtId="0" fontId="13" fillId="0" borderId="0" pivotButton="0" quotePrefix="0" xfId="0"/>
    <xf numFmtId="0" fontId="15" fillId="0" borderId="0" pivotButton="0" quotePrefix="0" xfId="0"/>
    <xf numFmtId="0" fontId="5" fillId="3" borderId="0" applyAlignment="1" pivotButton="0" quotePrefix="0" xfId="0">
      <alignment horizontal="center" vertical="center"/>
    </xf>
    <xf numFmtId="168" fontId="5" fillId="3" borderId="0" applyAlignment="1" pivotButton="0" quotePrefix="0" xfId="0">
      <alignment horizontal="center" vertical="center"/>
    </xf>
    <xf numFmtId="0" fontId="5" fillId="12" borderId="0" applyAlignment="1" pivotButton="0" quotePrefix="0" xfId="0">
      <alignment horizontal="center" vertical="center" wrapText="1"/>
    </xf>
    <xf numFmtId="170" fontId="14" fillId="3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6" fillId="0" borderId="0" pivotButton="0" quotePrefix="0" xfId="0"/>
    <xf numFmtId="0" fontId="3" fillId="11" borderId="1" applyAlignment="1" pivotButton="0" quotePrefix="0" xfId="0">
      <alignment horizontal="center" vertical="center"/>
    </xf>
    <xf numFmtId="0" fontId="17" fillId="13" borderId="0" pivotButton="0" quotePrefix="0" xfId="0"/>
    <xf numFmtId="0" fontId="2" fillId="14" borderId="0" pivotButton="0" quotePrefix="0" xfId="0"/>
    <xf numFmtId="0" fontId="18" fillId="15" borderId="0" pivotButton="0" quotePrefix="0" xfId="0"/>
    <xf numFmtId="0" fontId="19" fillId="10" borderId="0" pivotButton="0" quotePrefix="0" xfId="0"/>
    <xf numFmtId="0" fontId="20" fillId="16" borderId="0" pivotButton="0" quotePrefix="0" xfId="0"/>
  </cellXfs>
  <cellStyles count="1">
    <cellStyle name="Normal" xfId="0" builtinId="0" hidden="0"/>
  </cellStyles>
  <dxfs count="14">
    <dxf>
      <font>
        <color rgb="00E5E7EB"/>
      </font>
    </dxf>
    <dxf>
      <font>
        <b val="1"/>
        <color rgb="001E3A8A"/>
      </font>
      <fill>
        <patternFill patternType="solid">
          <fgColor rgb="00BFDBFE"/>
          <bgColor rgb="00BFDBFE"/>
        </patternFill>
      </fill>
    </dxf>
    <dxf>
      <font>
        <b val="1"/>
        <color rgb="00991B1B"/>
      </font>
      <fill>
        <patternFill patternType="solid">
          <fgColor rgb="00FECACA"/>
          <bgColor rgb="00FECACA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color rgb="00475569"/>
      </font>
      <fill>
        <patternFill patternType="solid">
          <fgColor rgb="00E2E8F0"/>
          <bgColor rgb="00E2E8F0"/>
        </patternFill>
      </fill>
    </dxf>
    <dxf>
      <font>
        <b val="1"/>
        <color rgb="00FFFFFF"/>
      </font>
      <fill>
        <patternFill patternType="solid">
          <fgColor rgb="00DC2626"/>
          <bgColor rgb="00DC2626"/>
        </patternFill>
      </fill>
    </dxf>
    <dxf>
      <font>
        <b val="1"/>
        <color rgb="00166534"/>
      </font>
      <fill>
        <patternFill patternType="solid">
          <fgColor rgb="00BBF7D0"/>
          <bgColor rgb="00BBF7D0"/>
        </patternFill>
      </fill>
    </dxf>
    <dxf>
      <font>
        <b val="1"/>
        <color rgb="0014532D"/>
      </font>
      <fill>
        <patternFill patternType="solid">
          <fgColor rgb="0086EFAC"/>
          <bgColor rgb="0086EFAC"/>
        </patternFill>
      </fill>
    </dxf>
    <dxf>
      <font>
        <b val="1"/>
        <color rgb="009A3412"/>
      </font>
      <fill>
        <patternFill patternType="solid">
          <fgColor rgb="00FED7AA"/>
          <bgColor rgb="00FED7AA"/>
        </patternFill>
      </fill>
    </dxf>
    <dxf>
      <font>
        <b val="1"/>
        <color rgb="005B21B6"/>
      </font>
      <fill>
        <patternFill patternType="solid">
          <fgColor rgb="00DDD6FE"/>
          <bgColor rgb="00DDD6FE"/>
        </patternFill>
      </fill>
    </dxf>
    <dxf>
      <fill>
        <patternFill patternType="solid">
          <fgColor rgb="00F8FAFC"/>
          <bgColor rgb="00F8FAFC"/>
        </patternFill>
      </fill>
    </dxf>
    <dxf>
      <fill>
        <patternFill patternType="solid">
          <fgColor rgb="00FECACA"/>
          <bgColor rgb="00FECACA"/>
        </patternFill>
      </fill>
    </dxf>
    <dxf>
      <fill>
        <patternFill patternType="solid">
          <fgColor rgb="00FEF3C7"/>
          <bgColor rgb="00FEF3C7"/>
        </patternFill>
      </fill>
    </dxf>
    <dxf>
      <fill>
        <patternFill patternType="solid">
          <fgColor rgb="00E2E8F0"/>
          <bgColor rgb="00E2E8F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Skillit</author>
  </authors>
  <commentList>
    <comment ref="B11" authorId="0" shapeId="0">
      <text>
        <t>Formuła wyznacza datę Wielkanocy (niedziela). Działa w Excelu dla lat 1900-2078.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Kalendarz, wymiar czasu pracy i grafik urlopów</t>
        </is>
      </c>
    </row>
    <row r="3">
      <c r="A3" t="inlineStr">
        <is>
          <t>Plik przygotowany do artykułu: skillit.pl/blog/kalendarz-grafik-pracy-2027-excel</t>
        </is>
      </c>
    </row>
    <row r="4">
      <c r="A4" t="inlineStr"/>
    </row>
    <row r="5">
      <c r="A5" s="2" t="inlineStr">
        <is>
          <t>JAK KORZYSTAĆ</t>
        </is>
      </c>
    </row>
    <row r="6">
      <c r="A6" t="inlineStr">
        <is>
          <t>1. Arkusz Ustawienia: wpisz rok (domyślnie 2027). Daty wszystkich świąt, także Wielkanocy i Bożego Ciała, przeliczą się same.</t>
        </is>
      </c>
    </row>
    <row r="7">
      <c r="A7" t="inlineStr">
        <is>
          <t>2. Arkusz Ustawienia: w tabeli „Dodatkowe dni wolne” wpisz dni wolne wyznaczone przez pracodawcę, np. za święto przypadające w sobotę.</t>
        </is>
      </c>
    </row>
    <row r="8">
      <c r="A8" t="inlineStr">
        <is>
          <t>3. Arkusz Kalendarz: weekendy są szare, święta czerwone, dodatkowe dni wolne żółte, dzisiejsza data niebieska.</t>
        </is>
      </c>
    </row>
    <row r="9">
      <c r="A9" t="inlineStr">
        <is>
          <t>4. Arkusz Wymiar czasu pracy: dni i godziny pracy w każdym miesiącu, z uwzględnieniem świąt w sobotę (art. 130 Kodeksu pracy).</t>
        </is>
      </c>
    </row>
    <row r="10">
      <c r="A10" t="inlineStr">
        <is>
          <t>5. Arkusz Grafik: wybierz miesiąc (1-12) w komórce C2 i wpisuj kody nieobecności z listy rozwijanej.</t>
        </is>
      </c>
    </row>
    <row r="11">
      <c r="A11" t="inlineStr">
        <is>
          <t xml:space="preserve">   U - urlop wypoczynkowy, UŻ - urlop na żądanie, L4 - zwolnienie lekarskie, D - delegacja, S - szkolenie.</t>
        </is>
      </c>
    </row>
    <row r="12">
      <c r="A12" t="inlineStr">
        <is>
          <t xml:space="preserve">   Wiersz „Nieobecni” podświetla dni, w których liczba nieobecnych przekracza limit z arkusza Ustawienia.</t>
        </is>
      </c>
    </row>
    <row r="13">
      <c r="A13" t="inlineStr"/>
    </row>
    <row r="14">
      <c r="A14" s="2" t="inlineStr">
        <is>
          <t>UŻYTE FUNKCJE</t>
        </is>
      </c>
    </row>
    <row r="15">
      <c r="A15" s="2" t="inlineStr">
        <is>
          <t>DATA, DZIEŃ, DZIEŃ.TYG, MIESIĄC, MINUTA, ZAOKR.W.DÓŁ, NR.SER.OST.DN.MIES, DNI.ROBOCZE.NIESTAND, LICZ.JEŻELI, SUMA.ILOCZYNÓW, INDEKS, JEŻELI.</t>
        </is>
      </c>
    </row>
    <row r="16">
      <c r="A16" t="inlineStr">
        <is>
          <t>Plik działa w Excelu 2010 i nowszych. Formuła daty Wielkanocy jest poprawna w Excelu dla lat 1900-2078.</t>
        </is>
      </c>
    </row>
    <row r="17">
      <c r="A17" t="inlineStr"/>
    </row>
    <row r="18">
      <c r="A18" t="inlineStr">
        <is>
          <t>Przed wykorzystaniem wymiaru czasu pracy w rozliczeniach kadrowych zweryfikuj go z przyjętym w firmie systemem i okresem rozliczeniowym.</t>
        </is>
      </c>
    </row>
    <row r="19">
      <c r="A19" t="inlineStr">
        <is>
          <t>Szkolenia Excel dla firm i urzędów: skillit.pl | Damian Leśniak, Rzeszów</t>
        </is>
      </c>
    </row>
  </sheetData>
  <pageMargins left="0.75" right="0.75" top="1" bottom="1" header="0.5" footer="0.5"/>
  <pageSetup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W4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</cols>
  <sheetData>
    <row r="1">
      <c r="A1" s="3">
        <f>"Kalendarz "&amp;Rok</f>
        <v/>
      </c>
      <c r="K1" s="4" t="inlineStr">
        <is>
          <t>Legenda:</t>
        </is>
      </c>
      <c r="M1" s="5" t="inlineStr">
        <is>
          <t>święto</t>
        </is>
      </c>
      <c r="O1" s="6" t="inlineStr">
        <is>
          <t>dzień wolny</t>
        </is>
      </c>
      <c r="R1" s="7" t="inlineStr">
        <is>
          <t>weekend</t>
        </is>
      </c>
      <c r="T1" s="8" t="inlineStr">
        <is>
          <t>dziś</t>
        </is>
      </c>
    </row>
    <row r="3">
      <c r="A3" s="9">
        <f>DATE(Rok,1,1)</f>
        <v/>
      </c>
      <c r="I3" s="9">
        <f>DATE(Rok,2,1)</f>
        <v/>
      </c>
      <c r="Q3" s="9">
        <f>DATE(Rok,3,1)</f>
        <v/>
      </c>
    </row>
    <row r="4">
      <c r="A4" s="10" t="inlineStr">
        <is>
          <t>Pn</t>
        </is>
      </c>
      <c r="B4" s="10" t="inlineStr">
        <is>
          <t>Wt</t>
        </is>
      </c>
      <c r="C4" s="10" t="inlineStr">
        <is>
          <t>Śr</t>
        </is>
      </c>
      <c r="D4" s="10" t="inlineStr">
        <is>
          <t>Cz</t>
        </is>
      </c>
      <c r="E4" s="10" t="inlineStr">
        <is>
          <t>Pt</t>
        </is>
      </c>
      <c r="F4" s="11" t="inlineStr">
        <is>
          <t>So</t>
        </is>
      </c>
      <c r="G4" s="11" t="inlineStr">
        <is>
          <t>Nd</t>
        </is>
      </c>
      <c r="I4" s="10" t="inlineStr">
        <is>
          <t>Pn</t>
        </is>
      </c>
      <c r="J4" s="10" t="inlineStr">
        <is>
          <t>Wt</t>
        </is>
      </c>
      <c r="K4" s="10" t="inlineStr">
        <is>
          <t>Śr</t>
        </is>
      </c>
      <c r="L4" s="10" t="inlineStr">
        <is>
          <t>Cz</t>
        </is>
      </c>
      <c r="M4" s="10" t="inlineStr">
        <is>
          <t>Pt</t>
        </is>
      </c>
      <c r="N4" s="11" t="inlineStr">
        <is>
          <t>So</t>
        </is>
      </c>
      <c r="O4" s="11" t="inlineStr">
        <is>
          <t>Nd</t>
        </is>
      </c>
      <c r="Q4" s="10" t="inlineStr">
        <is>
          <t>Pn</t>
        </is>
      </c>
      <c r="R4" s="10" t="inlineStr">
        <is>
          <t>Wt</t>
        </is>
      </c>
      <c r="S4" s="10" t="inlineStr">
        <is>
          <t>Śr</t>
        </is>
      </c>
      <c r="T4" s="10" t="inlineStr">
        <is>
          <t>Cz</t>
        </is>
      </c>
      <c r="U4" s="10" t="inlineStr">
        <is>
          <t>Pt</t>
        </is>
      </c>
      <c r="V4" s="11" t="inlineStr">
        <is>
          <t>So</t>
        </is>
      </c>
      <c r="W4" s="11" t="inlineStr">
        <is>
          <t>Nd</t>
        </is>
      </c>
    </row>
    <row r="5">
      <c r="A5" s="12">
        <f>DATE(Rok,1,1)-WEEKDAY(DATE(Rok,1,1),2)+1</f>
        <v/>
      </c>
      <c r="B5" s="12">
        <f>DATE(Rok,1,1)-WEEKDAY(DATE(Rok,1,1),2)+2</f>
        <v/>
      </c>
      <c r="C5" s="12">
        <f>DATE(Rok,1,1)-WEEKDAY(DATE(Rok,1,1),2)+3</f>
        <v/>
      </c>
      <c r="D5" s="12">
        <f>DATE(Rok,1,1)-WEEKDAY(DATE(Rok,1,1),2)+4</f>
        <v/>
      </c>
      <c r="E5" s="12">
        <f>DATE(Rok,1,1)-WEEKDAY(DATE(Rok,1,1),2)+5</f>
        <v/>
      </c>
      <c r="F5" s="12">
        <f>DATE(Rok,1,1)-WEEKDAY(DATE(Rok,1,1),2)+6</f>
        <v/>
      </c>
      <c r="G5" s="12">
        <f>DATE(Rok,1,1)-WEEKDAY(DATE(Rok,1,1),2)+7</f>
        <v/>
      </c>
      <c r="I5" s="12">
        <f>DATE(Rok,2,1)-WEEKDAY(DATE(Rok,2,1),2)+1</f>
        <v/>
      </c>
      <c r="J5" s="12">
        <f>DATE(Rok,2,1)-WEEKDAY(DATE(Rok,2,1),2)+2</f>
        <v/>
      </c>
      <c r="K5" s="12">
        <f>DATE(Rok,2,1)-WEEKDAY(DATE(Rok,2,1),2)+3</f>
        <v/>
      </c>
      <c r="L5" s="12">
        <f>DATE(Rok,2,1)-WEEKDAY(DATE(Rok,2,1),2)+4</f>
        <v/>
      </c>
      <c r="M5" s="12">
        <f>DATE(Rok,2,1)-WEEKDAY(DATE(Rok,2,1),2)+5</f>
        <v/>
      </c>
      <c r="N5" s="12">
        <f>DATE(Rok,2,1)-WEEKDAY(DATE(Rok,2,1),2)+6</f>
        <v/>
      </c>
      <c r="O5" s="12">
        <f>DATE(Rok,2,1)-WEEKDAY(DATE(Rok,2,1),2)+7</f>
        <v/>
      </c>
      <c r="Q5" s="12">
        <f>DATE(Rok,3,1)-WEEKDAY(DATE(Rok,3,1),2)+1</f>
        <v/>
      </c>
      <c r="R5" s="12">
        <f>DATE(Rok,3,1)-WEEKDAY(DATE(Rok,3,1),2)+2</f>
        <v/>
      </c>
      <c r="S5" s="12">
        <f>DATE(Rok,3,1)-WEEKDAY(DATE(Rok,3,1),2)+3</f>
        <v/>
      </c>
      <c r="T5" s="12">
        <f>DATE(Rok,3,1)-WEEKDAY(DATE(Rok,3,1),2)+4</f>
        <v/>
      </c>
      <c r="U5" s="12">
        <f>DATE(Rok,3,1)-WEEKDAY(DATE(Rok,3,1),2)+5</f>
        <v/>
      </c>
      <c r="V5" s="12">
        <f>DATE(Rok,3,1)-WEEKDAY(DATE(Rok,3,1),2)+6</f>
        <v/>
      </c>
      <c r="W5" s="12">
        <f>DATE(Rok,3,1)-WEEKDAY(DATE(Rok,3,1),2)+7</f>
        <v/>
      </c>
    </row>
    <row r="6">
      <c r="A6" s="12">
        <f>DATE(Rok,1,1)-WEEKDAY(DATE(Rok,1,1),2)+8</f>
        <v/>
      </c>
      <c r="B6" s="12">
        <f>DATE(Rok,1,1)-WEEKDAY(DATE(Rok,1,1),2)+9</f>
        <v/>
      </c>
      <c r="C6" s="12">
        <f>DATE(Rok,1,1)-WEEKDAY(DATE(Rok,1,1),2)+10</f>
        <v/>
      </c>
      <c r="D6" s="12">
        <f>DATE(Rok,1,1)-WEEKDAY(DATE(Rok,1,1),2)+11</f>
        <v/>
      </c>
      <c r="E6" s="12">
        <f>DATE(Rok,1,1)-WEEKDAY(DATE(Rok,1,1),2)+12</f>
        <v/>
      </c>
      <c r="F6" s="12">
        <f>DATE(Rok,1,1)-WEEKDAY(DATE(Rok,1,1),2)+13</f>
        <v/>
      </c>
      <c r="G6" s="12">
        <f>DATE(Rok,1,1)-WEEKDAY(DATE(Rok,1,1),2)+14</f>
        <v/>
      </c>
      <c r="I6" s="12">
        <f>DATE(Rok,2,1)-WEEKDAY(DATE(Rok,2,1),2)+8</f>
        <v/>
      </c>
      <c r="J6" s="12">
        <f>DATE(Rok,2,1)-WEEKDAY(DATE(Rok,2,1),2)+9</f>
        <v/>
      </c>
      <c r="K6" s="12">
        <f>DATE(Rok,2,1)-WEEKDAY(DATE(Rok,2,1),2)+10</f>
        <v/>
      </c>
      <c r="L6" s="12">
        <f>DATE(Rok,2,1)-WEEKDAY(DATE(Rok,2,1),2)+11</f>
        <v/>
      </c>
      <c r="M6" s="12">
        <f>DATE(Rok,2,1)-WEEKDAY(DATE(Rok,2,1),2)+12</f>
        <v/>
      </c>
      <c r="N6" s="12">
        <f>DATE(Rok,2,1)-WEEKDAY(DATE(Rok,2,1),2)+13</f>
        <v/>
      </c>
      <c r="O6" s="12">
        <f>DATE(Rok,2,1)-WEEKDAY(DATE(Rok,2,1),2)+14</f>
        <v/>
      </c>
      <c r="Q6" s="12">
        <f>DATE(Rok,3,1)-WEEKDAY(DATE(Rok,3,1),2)+8</f>
        <v/>
      </c>
      <c r="R6" s="12">
        <f>DATE(Rok,3,1)-WEEKDAY(DATE(Rok,3,1),2)+9</f>
        <v/>
      </c>
      <c r="S6" s="12">
        <f>DATE(Rok,3,1)-WEEKDAY(DATE(Rok,3,1),2)+10</f>
        <v/>
      </c>
      <c r="T6" s="12">
        <f>DATE(Rok,3,1)-WEEKDAY(DATE(Rok,3,1),2)+11</f>
        <v/>
      </c>
      <c r="U6" s="12">
        <f>DATE(Rok,3,1)-WEEKDAY(DATE(Rok,3,1),2)+12</f>
        <v/>
      </c>
      <c r="V6" s="12">
        <f>DATE(Rok,3,1)-WEEKDAY(DATE(Rok,3,1),2)+13</f>
        <v/>
      </c>
      <c r="W6" s="12">
        <f>DATE(Rok,3,1)-WEEKDAY(DATE(Rok,3,1),2)+14</f>
        <v/>
      </c>
    </row>
    <row r="7">
      <c r="A7" s="12">
        <f>DATE(Rok,1,1)-WEEKDAY(DATE(Rok,1,1),2)+15</f>
        <v/>
      </c>
      <c r="B7" s="12">
        <f>DATE(Rok,1,1)-WEEKDAY(DATE(Rok,1,1),2)+16</f>
        <v/>
      </c>
      <c r="C7" s="12">
        <f>DATE(Rok,1,1)-WEEKDAY(DATE(Rok,1,1),2)+17</f>
        <v/>
      </c>
      <c r="D7" s="12">
        <f>DATE(Rok,1,1)-WEEKDAY(DATE(Rok,1,1),2)+18</f>
        <v/>
      </c>
      <c r="E7" s="12">
        <f>DATE(Rok,1,1)-WEEKDAY(DATE(Rok,1,1),2)+19</f>
        <v/>
      </c>
      <c r="F7" s="12">
        <f>DATE(Rok,1,1)-WEEKDAY(DATE(Rok,1,1),2)+20</f>
        <v/>
      </c>
      <c r="G7" s="12">
        <f>DATE(Rok,1,1)-WEEKDAY(DATE(Rok,1,1),2)+21</f>
        <v/>
      </c>
      <c r="I7" s="12">
        <f>DATE(Rok,2,1)-WEEKDAY(DATE(Rok,2,1),2)+15</f>
        <v/>
      </c>
      <c r="J7" s="12">
        <f>DATE(Rok,2,1)-WEEKDAY(DATE(Rok,2,1),2)+16</f>
        <v/>
      </c>
      <c r="K7" s="12">
        <f>DATE(Rok,2,1)-WEEKDAY(DATE(Rok,2,1),2)+17</f>
        <v/>
      </c>
      <c r="L7" s="12">
        <f>DATE(Rok,2,1)-WEEKDAY(DATE(Rok,2,1),2)+18</f>
        <v/>
      </c>
      <c r="M7" s="12">
        <f>DATE(Rok,2,1)-WEEKDAY(DATE(Rok,2,1),2)+19</f>
        <v/>
      </c>
      <c r="N7" s="12">
        <f>DATE(Rok,2,1)-WEEKDAY(DATE(Rok,2,1),2)+20</f>
        <v/>
      </c>
      <c r="O7" s="12">
        <f>DATE(Rok,2,1)-WEEKDAY(DATE(Rok,2,1),2)+21</f>
        <v/>
      </c>
      <c r="Q7" s="12">
        <f>DATE(Rok,3,1)-WEEKDAY(DATE(Rok,3,1),2)+15</f>
        <v/>
      </c>
      <c r="R7" s="12">
        <f>DATE(Rok,3,1)-WEEKDAY(DATE(Rok,3,1),2)+16</f>
        <v/>
      </c>
      <c r="S7" s="12">
        <f>DATE(Rok,3,1)-WEEKDAY(DATE(Rok,3,1),2)+17</f>
        <v/>
      </c>
      <c r="T7" s="12">
        <f>DATE(Rok,3,1)-WEEKDAY(DATE(Rok,3,1),2)+18</f>
        <v/>
      </c>
      <c r="U7" s="12">
        <f>DATE(Rok,3,1)-WEEKDAY(DATE(Rok,3,1),2)+19</f>
        <v/>
      </c>
      <c r="V7" s="12">
        <f>DATE(Rok,3,1)-WEEKDAY(DATE(Rok,3,1),2)+20</f>
        <v/>
      </c>
      <c r="W7" s="12">
        <f>DATE(Rok,3,1)-WEEKDAY(DATE(Rok,3,1),2)+21</f>
        <v/>
      </c>
    </row>
    <row r="8">
      <c r="A8" s="12">
        <f>DATE(Rok,1,1)-WEEKDAY(DATE(Rok,1,1),2)+22</f>
        <v/>
      </c>
      <c r="B8" s="12">
        <f>DATE(Rok,1,1)-WEEKDAY(DATE(Rok,1,1),2)+23</f>
        <v/>
      </c>
      <c r="C8" s="12">
        <f>DATE(Rok,1,1)-WEEKDAY(DATE(Rok,1,1),2)+24</f>
        <v/>
      </c>
      <c r="D8" s="12">
        <f>DATE(Rok,1,1)-WEEKDAY(DATE(Rok,1,1),2)+25</f>
        <v/>
      </c>
      <c r="E8" s="12">
        <f>DATE(Rok,1,1)-WEEKDAY(DATE(Rok,1,1),2)+26</f>
        <v/>
      </c>
      <c r="F8" s="12">
        <f>DATE(Rok,1,1)-WEEKDAY(DATE(Rok,1,1),2)+27</f>
        <v/>
      </c>
      <c r="G8" s="12">
        <f>DATE(Rok,1,1)-WEEKDAY(DATE(Rok,1,1),2)+28</f>
        <v/>
      </c>
      <c r="I8" s="12">
        <f>DATE(Rok,2,1)-WEEKDAY(DATE(Rok,2,1),2)+22</f>
        <v/>
      </c>
      <c r="J8" s="12">
        <f>DATE(Rok,2,1)-WEEKDAY(DATE(Rok,2,1),2)+23</f>
        <v/>
      </c>
      <c r="K8" s="12">
        <f>DATE(Rok,2,1)-WEEKDAY(DATE(Rok,2,1),2)+24</f>
        <v/>
      </c>
      <c r="L8" s="12">
        <f>DATE(Rok,2,1)-WEEKDAY(DATE(Rok,2,1),2)+25</f>
        <v/>
      </c>
      <c r="M8" s="12">
        <f>DATE(Rok,2,1)-WEEKDAY(DATE(Rok,2,1),2)+26</f>
        <v/>
      </c>
      <c r="N8" s="12">
        <f>DATE(Rok,2,1)-WEEKDAY(DATE(Rok,2,1),2)+27</f>
        <v/>
      </c>
      <c r="O8" s="12">
        <f>DATE(Rok,2,1)-WEEKDAY(DATE(Rok,2,1),2)+28</f>
        <v/>
      </c>
      <c r="Q8" s="12">
        <f>DATE(Rok,3,1)-WEEKDAY(DATE(Rok,3,1),2)+22</f>
        <v/>
      </c>
      <c r="R8" s="12">
        <f>DATE(Rok,3,1)-WEEKDAY(DATE(Rok,3,1),2)+23</f>
        <v/>
      </c>
      <c r="S8" s="12">
        <f>DATE(Rok,3,1)-WEEKDAY(DATE(Rok,3,1),2)+24</f>
        <v/>
      </c>
      <c r="T8" s="12">
        <f>DATE(Rok,3,1)-WEEKDAY(DATE(Rok,3,1),2)+25</f>
        <v/>
      </c>
      <c r="U8" s="12">
        <f>DATE(Rok,3,1)-WEEKDAY(DATE(Rok,3,1),2)+26</f>
        <v/>
      </c>
      <c r="V8" s="12">
        <f>DATE(Rok,3,1)-WEEKDAY(DATE(Rok,3,1),2)+27</f>
        <v/>
      </c>
      <c r="W8" s="12">
        <f>DATE(Rok,3,1)-WEEKDAY(DATE(Rok,3,1),2)+28</f>
        <v/>
      </c>
    </row>
    <row r="9">
      <c r="A9" s="12">
        <f>DATE(Rok,1,1)-WEEKDAY(DATE(Rok,1,1),2)+29</f>
        <v/>
      </c>
      <c r="B9" s="12">
        <f>DATE(Rok,1,1)-WEEKDAY(DATE(Rok,1,1),2)+30</f>
        <v/>
      </c>
      <c r="C9" s="12">
        <f>DATE(Rok,1,1)-WEEKDAY(DATE(Rok,1,1),2)+31</f>
        <v/>
      </c>
      <c r="D9" s="12">
        <f>DATE(Rok,1,1)-WEEKDAY(DATE(Rok,1,1),2)+32</f>
        <v/>
      </c>
      <c r="E9" s="12">
        <f>DATE(Rok,1,1)-WEEKDAY(DATE(Rok,1,1),2)+33</f>
        <v/>
      </c>
      <c r="F9" s="12">
        <f>DATE(Rok,1,1)-WEEKDAY(DATE(Rok,1,1),2)+34</f>
        <v/>
      </c>
      <c r="G9" s="12">
        <f>DATE(Rok,1,1)-WEEKDAY(DATE(Rok,1,1),2)+35</f>
        <v/>
      </c>
      <c r="I9" s="12">
        <f>DATE(Rok,2,1)-WEEKDAY(DATE(Rok,2,1),2)+29</f>
        <v/>
      </c>
      <c r="J9" s="12">
        <f>DATE(Rok,2,1)-WEEKDAY(DATE(Rok,2,1),2)+30</f>
        <v/>
      </c>
      <c r="K9" s="12">
        <f>DATE(Rok,2,1)-WEEKDAY(DATE(Rok,2,1),2)+31</f>
        <v/>
      </c>
      <c r="L9" s="12">
        <f>DATE(Rok,2,1)-WEEKDAY(DATE(Rok,2,1),2)+32</f>
        <v/>
      </c>
      <c r="M9" s="12">
        <f>DATE(Rok,2,1)-WEEKDAY(DATE(Rok,2,1),2)+33</f>
        <v/>
      </c>
      <c r="N9" s="12">
        <f>DATE(Rok,2,1)-WEEKDAY(DATE(Rok,2,1),2)+34</f>
        <v/>
      </c>
      <c r="O9" s="12">
        <f>DATE(Rok,2,1)-WEEKDAY(DATE(Rok,2,1),2)+35</f>
        <v/>
      </c>
      <c r="Q9" s="12">
        <f>DATE(Rok,3,1)-WEEKDAY(DATE(Rok,3,1),2)+29</f>
        <v/>
      </c>
      <c r="R9" s="12">
        <f>DATE(Rok,3,1)-WEEKDAY(DATE(Rok,3,1),2)+30</f>
        <v/>
      </c>
      <c r="S9" s="12">
        <f>DATE(Rok,3,1)-WEEKDAY(DATE(Rok,3,1),2)+31</f>
        <v/>
      </c>
      <c r="T9" s="12">
        <f>DATE(Rok,3,1)-WEEKDAY(DATE(Rok,3,1),2)+32</f>
        <v/>
      </c>
      <c r="U9" s="12">
        <f>DATE(Rok,3,1)-WEEKDAY(DATE(Rok,3,1),2)+33</f>
        <v/>
      </c>
      <c r="V9" s="12">
        <f>DATE(Rok,3,1)-WEEKDAY(DATE(Rok,3,1),2)+34</f>
        <v/>
      </c>
      <c r="W9" s="12">
        <f>DATE(Rok,3,1)-WEEKDAY(DATE(Rok,3,1),2)+35</f>
        <v/>
      </c>
    </row>
    <row r="10">
      <c r="A10" s="12">
        <f>DATE(Rok,1,1)-WEEKDAY(DATE(Rok,1,1),2)+36</f>
        <v/>
      </c>
      <c r="B10" s="12">
        <f>DATE(Rok,1,1)-WEEKDAY(DATE(Rok,1,1),2)+37</f>
        <v/>
      </c>
      <c r="C10" s="12">
        <f>DATE(Rok,1,1)-WEEKDAY(DATE(Rok,1,1),2)+38</f>
        <v/>
      </c>
      <c r="D10" s="12">
        <f>DATE(Rok,1,1)-WEEKDAY(DATE(Rok,1,1),2)+39</f>
        <v/>
      </c>
      <c r="E10" s="12">
        <f>DATE(Rok,1,1)-WEEKDAY(DATE(Rok,1,1),2)+40</f>
        <v/>
      </c>
      <c r="F10" s="12">
        <f>DATE(Rok,1,1)-WEEKDAY(DATE(Rok,1,1),2)+41</f>
        <v/>
      </c>
      <c r="G10" s="12">
        <f>DATE(Rok,1,1)-WEEKDAY(DATE(Rok,1,1),2)+42</f>
        <v/>
      </c>
      <c r="I10" s="12">
        <f>DATE(Rok,2,1)-WEEKDAY(DATE(Rok,2,1),2)+36</f>
        <v/>
      </c>
      <c r="J10" s="12">
        <f>DATE(Rok,2,1)-WEEKDAY(DATE(Rok,2,1),2)+37</f>
        <v/>
      </c>
      <c r="K10" s="12">
        <f>DATE(Rok,2,1)-WEEKDAY(DATE(Rok,2,1),2)+38</f>
        <v/>
      </c>
      <c r="L10" s="12">
        <f>DATE(Rok,2,1)-WEEKDAY(DATE(Rok,2,1),2)+39</f>
        <v/>
      </c>
      <c r="M10" s="12">
        <f>DATE(Rok,2,1)-WEEKDAY(DATE(Rok,2,1),2)+40</f>
        <v/>
      </c>
      <c r="N10" s="12">
        <f>DATE(Rok,2,1)-WEEKDAY(DATE(Rok,2,1),2)+41</f>
        <v/>
      </c>
      <c r="O10" s="12">
        <f>DATE(Rok,2,1)-WEEKDAY(DATE(Rok,2,1),2)+42</f>
        <v/>
      </c>
      <c r="Q10" s="12">
        <f>DATE(Rok,3,1)-WEEKDAY(DATE(Rok,3,1),2)+36</f>
        <v/>
      </c>
      <c r="R10" s="12">
        <f>DATE(Rok,3,1)-WEEKDAY(DATE(Rok,3,1),2)+37</f>
        <v/>
      </c>
      <c r="S10" s="12">
        <f>DATE(Rok,3,1)-WEEKDAY(DATE(Rok,3,1),2)+38</f>
        <v/>
      </c>
      <c r="T10" s="12">
        <f>DATE(Rok,3,1)-WEEKDAY(DATE(Rok,3,1),2)+39</f>
        <v/>
      </c>
      <c r="U10" s="12">
        <f>DATE(Rok,3,1)-WEEKDAY(DATE(Rok,3,1),2)+40</f>
        <v/>
      </c>
      <c r="V10" s="12">
        <f>DATE(Rok,3,1)-WEEKDAY(DATE(Rok,3,1),2)+41</f>
        <v/>
      </c>
      <c r="W10" s="12">
        <f>DATE(Rok,3,1)-WEEKDAY(DATE(Rok,3,1),2)+42</f>
        <v/>
      </c>
    </row>
    <row r="11">
      <c r="A11" s="13">
        <f>"Dni pracy: "&amp;'Wymiar czasu pracy'!G5&amp;"   Godziny: "&amp;'Wymiar czasu pracy'!H5</f>
        <v/>
      </c>
      <c r="I11" s="13">
        <f>"Dni pracy: "&amp;'Wymiar czasu pracy'!G6&amp;"   Godziny: "&amp;'Wymiar czasu pracy'!H6</f>
        <v/>
      </c>
      <c r="Q11" s="13">
        <f>"Dni pracy: "&amp;'Wymiar czasu pracy'!G7&amp;"   Godziny: "&amp;'Wymiar czasu pracy'!H7</f>
        <v/>
      </c>
    </row>
    <row r="13">
      <c r="A13" s="9">
        <f>DATE(Rok,4,1)</f>
        <v/>
      </c>
      <c r="I13" s="9">
        <f>DATE(Rok,5,1)</f>
        <v/>
      </c>
      <c r="Q13" s="9">
        <f>DATE(Rok,6,1)</f>
        <v/>
      </c>
    </row>
    <row r="14">
      <c r="A14" s="10" t="inlineStr">
        <is>
          <t>Pn</t>
        </is>
      </c>
      <c r="B14" s="10" t="inlineStr">
        <is>
          <t>Wt</t>
        </is>
      </c>
      <c r="C14" s="10" t="inlineStr">
        <is>
          <t>Śr</t>
        </is>
      </c>
      <c r="D14" s="10" t="inlineStr">
        <is>
          <t>Cz</t>
        </is>
      </c>
      <c r="E14" s="10" t="inlineStr">
        <is>
          <t>Pt</t>
        </is>
      </c>
      <c r="F14" s="11" t="inlineStr">
        <is>
          <t>So</t>
        </is>
      </c>
      <c r="G14" s="11" t="inlineStr">
        <is>
          <t>Nd</t>
        </is>
      </c>
      <c r="I14" s="10" t="inlineStr">
        <is>
          <t>Pn</t>
        </is>
      </c>
      <c r="J14" s="10" t="inlineStr">
        <is>
          <t>Wt</t>
        </is>
      </c>
      <c r="K14" s="10" t="inlineStr">
        <is>
          <t>Śr</t>
        </is>
      </c>
      <c r="L14" s="10" t="inlineStr">
        <is>
          <t>Cz</t>
        </is>
      </c>
      <c r="M14" s="10" t="inlineStr">
        <is>
          <t>Pt</t>
        </is>
      </c>
      <c r="N14" s="11" t="inlineStr">
        <is>
          <t>So</t>
        </is>
      </c>
      <c r="O14" s="11" t="inlineStr">
        <is>
          <t>Nd</t>
        </is>
      </c>
      <c r="Q14" s="10" t="inlineStr">
        <is>
          <t>Pn</t>
        </is>
      </c>
      <c r="R14" s="10" t="inlineStr">
        <is>
          <t>Wt</t>
        </is>
      </c>
      <c r="S14" s="10" t="inlineStr">
        <is>
          <t>Śr</t>
        </is>
      </c>
      <c r="T14" s="10" t="inlineStr">
        <is>
          <t>Cz</t>
        </is>
      </c>
      <c r="U14" s="10" t="inlineStr">
        <is>
          <t>Pt</t>
        </is>
      </c>
      <c r="V14" s="11" t="inlineStr">
        <is>
          <t>So</t>
        </is>
      </c>
      <c r="W14" s="11" t="inlineStr">
        <is>
          <t>Nd</t>
        </is>
      </c>
    </row>
    <row r="15">
      <c r="A15" s="12">
        <f>DATE(Rok,4,1)-WEEKDAY(DATE(Rok,4,1),2)+1</f>
        <v/>
      </c>
      <c r="B15" s="12">
        <f>DATE(Rok,4,1)-WEEKDAY(DATE(Rok,4,1),2)+2</f>
        <v/>
      </c>
      <c r="C15" s="12">
        <f>DATE(Rok,4,1)-WEEKDAY(DATE(Rok,4,1),2)+3</f>
        <v/>
      </c>
      <c r="D15" s="12">
        <f>DATE(Rok,4,1)-WEEKDAY(DATE(Rok,4,1),2)+4</f>
        <v/>
      </c>
      <c r="E15" s="12">
        <f>DATE(Rok,4,1)-WEEKDAY(DATE(Rok,4,1),2)+5</f>
        <v/>
      </c>
      <c r="F15" s="12">
        <f>DATE(Rok,4,1)-WEEKDAY(DATE(Rok,4,1),2)+6</f>
        <v/>
      </c>
      <c r="G15" s="12">
        <f>DATE(Rok,4,1)-WEEKDAY(DATE(Rok,4,1),2)+7</f>
        <v/>
      </c>
      <c r="I15" s="12">
        <f>DATE(Rok,5,1)-WEEKDAY(DATE(Rok,5,1),2)+1</f>
        <v/>
      </c>
      <c r="J15" s="12">
        <f>DATE(Rok,5,1)-WEEKDAY(DATE(Rok,5,1),2)+2</f>
        <v/>
      </c>
      <c r="K15" s="12">
        <f>DATE(Rok,5,1)-WEEKDAY(DATE(Rok,5,1),2)+3</f>
        <v/>
      </c>
      <c r="L15" s="12">
        <f>DATE(Rok,5,1)-WEEKDAY(DATE(Rok,5,1),2)+4</f>
        <v/>
      </c>
      <c r="M15" s="12">
        <f>DATE(Rok,5,1)-WEEKDAY(DATE(Rok,5,1),2)+5</f>
        <v/>
      </c>
      <c r="N15" s="12">
        <f>DATE(Rok,5,1)-WEEKDAY(DATE(Rok,5,1),2)+6</f>
        <v/>
      </c>
      <c r="O15" s="12">
        <f>DATE(Rok,5,1)-WEEKDAY(DATE(Rok,5,1),2)+7</f>
        <v/>
      </c>
      <c r="Q15" s="12">
        <f>DATE(Rok,6,1)-WEEKDAY(DATE(Rok,6,1),2)+1</f>
        <v/>
      </c>
      <c r="R15" s="12">
        <f>DATE(Rok,6,1)-WEEKDAY(DATE(Rok,6,1),2)+2</f>
        <v/>
      </c>
      <c r="S15" s="12">
        <f>DATE(Rok,6,1)-WEEKDAY(DATE(Rok,6,1),2)+3</f>
        <v/>
      </c>
      <c r="T15" s="12">
        <f>DATE(Rok,6,1)-WEEKDAY(DATE(Rok,6,1),2)+4</f>
        <v/>
      </c>
      <c r="U15" s="12">
        <f>DATE(Rok,6,1)-WEEKDAY(DATE(Rok,6,1),2)+5</f>
        <v/>
      </c>
      <c r="V15" s="12">
        <f>DATE(Rok,6,1)-WEEKDAY(DATE(Rok,6,1),2)+6</f>
        <v/>
      </c>
      <c r="W15" s="12">
        <f>DATE(Rok,6,1)-WEEKDAY(DATE(Rok,6,1),2)+7</f>
        <v/>
      </c>
    </row>
    <row r="16">
      <c r="A16" s="12">
        <f>DATE(Rok,4,1)-WEEKDAY(DATE(Rok,4,1),2)+8</f>
        <v/>
      </c>
      <c r="B16" s="12">
        <f>DATE(Rok,4,1)-WEEKDAY(DATE(Rok,4,1),2)+9</f>
        <v/>
      </c>
      <c r="C16" s="12">
        <f>DATE(Rok,4,1)-WEEKDAY(DATE(Rok,4,1),2)+10</f>
        <v/>
      </c>
      <c r="D16" s="12">
        <f>DATE(Rok,4,1)-WEEKDAY(DATE(Rok,4,1),2)+11</f>
        <v/>
      </c>
      <c r="E16" s="12">
        <f>DATE(Rok,4,1)-WEEKDAY(DATE(Rok,4,1),2)+12</f>
        <v/>
      </c>
      <c r="F16" s="12">
        <f>DATE(Rok,4,1)-WEEKDAY(DATE(Rok,4,1),2)+13</f>
        <v/>
      </c>
      <c r="G16" s="12">
        <f>DATE(Rok,4,1)-WEEKDAY(DATE(Rok,4,1),2)+14</f>
        <v/>
      </c>
      <c r="I16" s="12">
        <f>DATE(Rok,5,1)-WEEKDAY(DATE(Rok,5,1),2)+8</f>
        <v/>
      </c>
      <c r="J16" s="12">
        <f>DATE(Rok,5,1)-WEEKDAY(DATE(Rok,5,1),2)+9</f>
        <v/>
      </c>
      <c r="K16" s="12">
        <f>DATE(Rok,5,1)-WEEKDAY(DATE(Rok,5,1),2)+10</f>
        <v/>
      </c>
      <c r="L16" s="12">
        <f>DATE(Rok,5,1)-WEEKDAY(DATE(Rok,5,1),2)+11</f>
        <v/>
      </c>
      <c r="M16" s="12">
        <f>DATE(Rok,5,1)-WEEKDAY(DATE(Rok,5,1),2)+12</f>
        <v/>
      </c>
      <c r="N16" s="12">
        <f>DATE(Rok,5,1)-WEEKDAY(DATE(Rok,5,1),2)+13</f>
        <v/>
      </c>
      <c r="O16" s="12">
        <f>DATE(Rok,5,1)-WEEKDAY(DATE(Rok,5,1),2)+14</f>
        <v/>
      </c>
      <c r="Q16" s="12">
        <f>DATE(Rok,6,1)-WEEKDAY(DATE(Rok,6,1),2)+8</f>
        <v/>
      </c>
      <c r="R16" s="12">
        <f>DATE(Rok,6,1)-WEEKDAY(DATE(Rok,6,1),2)+9</f>
        <v/>
      </c>
      <c r="S16" s="12">
        <f>DATE(Rok,6,1)-WEEKDAY(DATE(Rok,6,1),2)+10</f>
        <v/>
      </c>
      <c r="T16" s="12">
        <f>DATE(Rok,6,1)-WEEKDAY(DATE(Rok,6,1),2)+11</f>
        <v/>
      </c>
      <c r="U16" s="12">
        <f>DATE(Rok,6,1)-WEEKDAY(DATE(Rok,6,1),2)+12</f>
        <v/>
      </c>
      <c r="V16" s="12">
        <f>DATE(Rok,6,1)-WEEKDAY(DATE(Rok,6,1),2)+13</f>
        <v/>
      </c>
      <c r="W16" s="12">
        <f>DATE(Rok,6,1)-WEEKDAY(DATE(Rok,6,1),2)+14</f>
        <v/>
      </c>
    </row>
    <row r="17">
      <c r="A17" s="12">
        <f>DATE(Rok,4,1)-WEEKDAY(DATE(Rok,4,1),2)+15</f>
        <v/>
      </c>
      <c r="B17" s="12">
        <f>DATE(Rok,4,1)-WEEKDAY(DATE(Rok,4,1),2)+16</f>
        <v/>
      </c>
      <c r="C17" s="12">
        <f>DATE(Rok,4,1)-WEEKDAY(DATE(Rok,4,1),2)+17</f>
        <v/>
      </c>
      <c r="D17" s="12">
        <f>DATE(Rok,4,1)-WEEKDAY(DATE(Rok,4,1),2)+18</f>
        <v/>
      </c>
      <c r="E17" s="12">
        <f>DATE(Rok,4,1)-WEEKDAY(DATE(Rok,4,1),2)+19</f>
        <v/>
      </c>
      <c r="F17" s="12">
        <f>DATE(Rok,4,1)-WEEKDAY(DATE(Rok,4,1),2)+20</f>
        <v/>
      </c>
      <c r="G17" s="12">
        <f>DATE(Rok,4,1)-WEEKDAY(DATE(Rok,4,1),2)+21</f>
        <v/>
      </c>
      <c r="I17" s="12">
        <f>DATE(Rok,5,1)-WEEKDAY(DATE(Rok,5,1),2)+15</f>
        <v/>
      </c>
      <c r="J17" s="12">
        <f>DATE(Rok,5,1)-WEEKDAY(DATE(Rok,5,1),2)+16</f>
        <v/>
      </c>
      <c r="K17" s="12">
        <f>DATE(Rok,5,1)-WEEKDAY(DATE(Rok,5,1),2)+17</f>
        <v/>
      </c>
      <c r="L17" s="12">
        <f>DATE(Rok,5,1)-WEEKDAY(DATE(Rok,5,1),2)+18</f>
        <v/>
      </c>
      <c r="M17" s="12">
        <f>DATE(Rok,5,1)-WEEKDAY(DATE(Rok,5,1),2)+19</f>
        <v/>
      </c>
      <c r="N17" s="12">
        <f>DATE(Rok,5,1)-WEEKDAY(DATE(Rok,5,1),2)+20</f>
        <v/>
      </c>
      <c r="O17" s="12">
        <f>DATE(Rok,5,1)-WEEKDAY(DATE(Rok,5,1),2)+21</f>
        <v/>
      </c>
      <c r="Q17" s="12">
        <f>DATE(Rok,6,1)-WEEKDAY(DATE(Rok,6,1),2)+15</f>
        <v/>
      </c>
      <c r="R17" s="12">
        <f>DATE(Rok,6,1)-WEEKDAY(DATE(Rok,6,1),2)+16</f>
        <v/>
      </c>
      <c r="S17" s="12">
        <f>DATE(Rok,6,1)-WEEKDAY(DATE(Rok,6,1),2)+17</f>
        <v/>
      </c>
      <c r="T17" s="12">
        <f>DATE(Rok,6,1)-WEEKDAY(DATE(Rok,6,1),2)+18</f>
        <v/>
      </c>
      <c r="U17" s="12">
        <f>DATE(Rok,6,1)-WEEKDAY(DATE(Rok,6,1),2)+19</f>
        <v/>
      </c>
      <c r="V17" s="12">
        <f>DATE(Rok,6,1)-WEEKDAY(DATE(Rok,6,1),2)+20</f>
        <v/>
      </c>
      <c r="W17" s="12">
        <f>DATE(Rok,6,1)-WEEKDAY(DATE(Rok,6,1),2)+21</f>
        <v/>
      </c>
    </row>
    <row r="18">
      <c r="A18" s="12">
        <f>DATE(Rok,4,1)-WEEKDAY(DATE(Rok,4,1),2)+22</f>
        <v/>
      </c>
      <c r="B18" s="12">
        <f>DATE(Rok,4,1)-WEEKDAY(DATE(Rok,4,1),2)+23</f>
        <v/>
      </c>
      <c r="C18" s="12">
        <f>DATE(Rok,4,1)-WEEKDAY(DATE(Rok,4,1),2)+24</f>
        <v/>
      </c>
      <c r="D18" s="12">
        <f>DATE(Rok,4,1)-WEEKDAY(DATE(Rok,4,1),2)+25</f>
        <v/>
      </c>
      <c r="E18" s="12">
        <f>DATE(Rok,4,1)-WEEKDAY(DATE(Rok,4,1),2)+26</f>
        <v/>
      </c>
      <c r="F18" s="12">
        <f>DATE(Rok,4,1)-WEEKDAY(DATE(Rok,4,1),2)+27</f>
        <v/>
      </c>
      <c r="G18" s="12">
        <f>DATE(Rok,4,1)-WEEKDAY(DATE(Rok,4,1),2)+28</f>
        <v/>
      </c>
      <c r="I18" s="12">
        <f>DATE(Rok,5,1)-WEEKDAY(DATE(Rok,5,1),2)+22</f>
        <v/>
      </c>
      <c r="J18" s="12">
        <f>DATE(Rok,5,1)-WEEKDAY(DATE(Rok,5,1),2)+23</f>
        <v/>
      </c>
      <c r="K18" s="12">
        <f>DATE(Rok,5,1)-WEEKDAY(DATE(Rok,5,1),2)+24</f>
        <v/>
      </c>
      <c r="L18" s="12">
        <f>DATE(Rok,5,1)-WEEKDAY(DATE(Rok,5,1),2)+25</f>
        <v/>
      </c>
      <c r="M18" s="12">
        <f>DATE(Rok,5,1)-WEEKDAY(DATE(Rok,5,1),2)+26</f>
        <v/>
      </c>
      <c r="N18" s="12">
        <f>DATE(Rok,5,1)-WEEKDAY(DATE(Rok,5,1),2)+27</f>
        <v/>
      </c>
      <c r="O18" s="12">
        <f>DATE(Rok,5,1)-WEEKDAY(DATE(Rok,5,1),2)+28</f>
        <v/>
      </c>
      <c r="Q18" s="12">
        <f>DATE(Rok,6,1)-WEEKDAY(DATE(Rok,6,1),2)+22</f>
        <v/>
      </c>
      <c r="R18" s="12">
        <f>DATE(Rok,6,1)-WEEKDAY(DATE(Rok,6,1),2)+23</f>
        <v/>
      </c>
      <c r="S18" s="12">
        <f>DATE(Rok,6,1)-WEEKDAY(DATE(Rok,6,1),2)+24</f>
        <v/>
      </c>
      <c r="T18" s="12">
        <f>DATE(Rok,6,1)-WEEKDAY(DATE(Rok,6,1),2)+25</f>
        <v/>
      </c>
      <c r="U18" s="12">
        <f>DATE(Rok,6,1)-WEEKDAY(DATE(Rok,6,1),2)+26</f>
        <v/>
      </c>
      <c r="V18" s="12">
        <f>DATE(Rok,6,1)-WEEKDAY(DATE(Rok,6,1),2)+27</f>
        <v/>
      </c>
      <c r="W18" s="12">
        <f>DATE(Rok,6,1)-WEEKDAY(DATE(Rok,6,1),2)+28</f>
        <v/>
      </c>
    </row>
    <row r="19">
      <c r="A19" s="12">
        <f>DATE(Rok,4,1)-WEEKDAY(DATE(Rok,4,1),2)+29</f>
        <v/>
      </c>
      <c r="B19" s="12">
        <f>DATE(Rok,4,1)-WEEKDAY(DATE(Rok,4,1),2)+30</f>
        <v/>
      </c>
      <c r="C19" s="12">
        <f>DATE(Rok,4,1)-WEEKDAY(DATE(Rok,4,1),2)+31</f>
        <v/>
      </c>
      <c r="D19" s="12">
        <f>DATE(Rok,4,1)-WEEKDAY(DATE(Rok,4,1),2)+32</f>
        <v/>
      </c>
      <c r="E19" s="12">
        <f>DATE(Rok,4,1)-WEEKDAY(DATE(Rok,4,1),2)+33</f>
        <v/>
      </c>
      <c r="F19" s="12">
        <f>DATE(Rok,4,1)-WEEKDAY(DATE(Rok,4,1),2)+34</f>
        <v/>
      </c>
      <c r="G19" s="12">
        <f>DATE(Rok,4,1)-WEEKDAY(DATE(Rok,4,1),2)+35</f>
        <v/>
      </c>
      <c r="I19" s="12">
        <f>DATE(Rok,5,1)-WEEKDAY(DATE(Rok,5,1),2)+29</f>
        <v/>
      </c>
      <c r="J19" s="12">
        <f>DATE(Rok,5,1)-WEEKDAY(DATE(Rok,5,1),2)+30</f>
        <v/>
      </c>
      <c r="K19" s="12">
        <f>DATE(Rok,5,1)-WEEKDAY(DATE(Rok,5,1),2)+31</f>
        <v/>
      </c>
      <c r="L19" s="12">
        <f>DATE(Rok,5,1)-WEEKDAY(DATE(Rok,5,1),2)+32</f>
        <v/>
      </c>
      <c r="M19" s="12">
        <f>DATE(Rok,5,1)-WEEKDAY(DATE(Rok,5,1),2)+33</f>
        <v/>
      </c>
      <c r="N19" s="12">
        <f>DATE(Rok,5,1)-WEEKDAY(DATE(Rok,5,1),2)+34</f>
        <v/>
      </c>
      <c r="O19" s="12">
        <f>DATE(Rok,5,1)-WEEKDAY(DATE(Rok,5,1),2)+35</f>
        <v/>
      </c>
      <c r="Q19" s="12">
        <f>DATE(Rok,6,1)-WEEKDAY(DATE(Rok,6,1),2)+29</f>
        <v/>
      </c>
      <c r="R19" s="12">
        <f>DATE(Rok,6,1)-WEEKDAY(DATE(Rok,6,1),2)+30</f>
        <v/>
      </c>
      <c r="S19" s="12">
        <f>DATE(Rok,6,1)-WEEKDAY(DATE(Rok,6,1),2)+31</f>
        <v/>
      </c>
      <c r="T19" s="12">
        <f>DATE(Rok,6,1)-WEEKDAY(DATE(Rok,6,1),2)+32</f>
        <v/>
      </c>
      <c r="U19" s="12">
        <f>DATE(Rok,6,1)-WEEKDAY(DATE(Rok,6,1),2)+33</f>
        <v/>
      </c>
      <c r="V19" s="12">
        <f>DATE(Rok,6,1)-WEEKDAY(DATE(Rok,6,1),2)+34</f>
        <v/>
      </c>
      <c r="W19" s="12">
        <f>DATE(Rok,6,1)-WEEKDAY(DATE(Rok,6,1),2)+35</f>
        <v/>
      </c>
    </row>
    <row r="20">
      <c r="A20" s="12">
        <f>DATE(Rok,4,1)-WEEKDAY(DATE(Rok,4,1),2)+36</f>
        <v/>
      </c>
      <c r="B20" s="12">
        <f>DATE(Rok,4,1)-WEEKDAY(DATE(Rok,4,1),2)+37</f>
        <v/>
      </c>
      <c r="C20" s="12">
        <f>DATE(Rok,4,1)-WEEKDAY(DATE(Rok,4,1),2)+38</f>
        <v/>
      </c>
      <c r="D20" s="12">
        <f>DATE(Rok,4,1)-WEEKDAY(DATE(Rok,4,1),2)+39</f>
        <v/>
      </c>
      <c r="E20" s="12">
        <f>DATE(Rok,4,1)-WEEKDAY(DATE(Rok,4,1),2)+40</f>
        <v/>
      </c>
      <c r="F20" s="12">
        <f>DATE(Rok,4,1)-WEEKDAY(DATE(Rok,4,1),2)+41</f>
        <v/>
      </c>
      <c r="G20" s="12">
        <f>DATE(Rok,4,1)-WEEKDAY(DATE(Rok,4,1),2)+42</f>
        <v/>
      </c>
      <c r="I20" s="12">
        <f>DATE(Rok,5,1)-WEEKDAY(DATE(Rok,5,1),2)+36</f>
        <v/>
      </c>
      <c r="J20" s="12">
        <f>DATE(Rok,5,1)-WEEKDAY(DATE(Rok,5,1),2)+37</f>
        <v/>
      </c>
      <c r="K20" s="12">
        <f>DATE(Rok,5,1)-WEEKDAY(DATE(Rok,5,1),2)+38</f>
        <v/>
      </c>
      <c r="L20" s="12">
        <f>DATE(Rok,5,1)-WEEKDAY(DATE(Rok,5,1),2)+39</f>
        <v/>
      </c>
      <c r="M20" s="12">
        <f>DATE(Rok,5,1)-WEEKDAY(DATE(Rok,5,1),2)+40</f>
        <v/>
      </c>
      <c r="N20" s="12">
        <f>DATE(Rok,5,1)-WEEKDAY(DATE(Rok,5,1),2)+41</f>
        <v/>
      </c>
      <c r="O20" s="12">
        <f>DATE(Rok,5,1)-WEEKDAY(DATE(Rok,5,1),2)+42</f>
        <v/>
      </c>
      <c r="Q20" s="12">
        <f>DATE(Rok,6,1)-WEEKDAY(DATE(Rok,6,1),2)+36</f>
        <v/>
      </c>
      <c r="R20" s="12">
        <f>DATE(Rok,6,1)-WEEKDAY(DATE(Rok,6,1),2)+37</f>
        <v/>
      </c>
      <c r="S20" s="12">
        <f>DATE(Rok,6,1)-WEEKDAY(DATE(Rok,6,1),2)+38</f>
        <v/>
      </c>
      <c r="T20" s="12">
        <f>DATE(Rok,6,1)-WEEKDAY(DATE(Rok,6,1),2)+39</f>
        <v/>
      </c>
      <c r="U20" s="12">
        <f>DATE(Rok,6,1)-WEEKDAY(DATE(Rok,6,1),2)+40</f>
        <v/>
      </c>
      <c r="V20" s="12">
        <f>DATE(Rok,6,1)-WEEKDAY(DATE(Rok,6,1),2)+41</f>
        <v/>
      </c>
      <c r="W20" s="12">
        <f>DATE(Rok,6,1)-WEEKDAY(DATE(Rok,6,1),2)+42</f>
        <v/>
      </c>
    </row>
    <row r="21">
      <c r="A21" s="13">
        <f>"Dni pracy: "&amp;'Wymiar czasu pracy'!G8&amp;"   Godziny: "&amp;'Wymiar czasu pracy'!H8</f>
        <v/>
      </c>
      <c r="I21" s="13">
        <f>"Dni pracy: "&amp;'Wymiar czasu pracy'!G9&amp;"   Godziny: "&amp;'Wymiar czasu pracy'!H9</f>
        <v/>
      </c>
      <c r="Q21" s="13">
        <f>"Dni pracy: "&amp;'Wymiar czasu pracy'!G10&amp;"   Godziny: "&amp;'Wymiar czasu pracy'!H10</f>
        <v/>
      </c>
    </row>
    <row r="23">
      <c r="A23" s="9">
        <f>DATE(Rok,7,1)</f>
        <v/>
      </c>
      <c r="I23" s="9">
        <f>DATE(Rok,8,1)</f>
        <v/>
      </c>
      <c r="Q23" s="9">
        <f>DATE(Rok,9,1)</f>
        <v/>
      </c>
    </row>
    <row r="24">
      <c r="A24" s="10" t="inlineStr">
        <is>
          <t>Pn</t>
        </is>
      </c>
      <c r="B24" s="10" t="inlineStr">
        <is>
          <t>Wt</t>
        </is>
      </c>
      <c r="C24" s="10" t="inlineStr">
        <is>
          <t>Śr</t>
        </is>
      </c>
      <c r="D24" s="10" t="inlineStr">
        <is>
          <t>Cz</t>
        </is>
      </c>
      <c r="E24" s="10" t="inlineStr">
        <is>
          <t>Pt</t>
        </is>
      </c>
      <c r="F24" s="11" t="inlineStr">
        <is>
          <t>So</t>
        </is>
      </c>
      <c r="G24" s="11" t="inlineStr">
        <is>
          <t>Nd</t>
        </is>
      </c>
      <c r="I24" s="10" t="inlineStr">
        <is>
          <t>Pn</t>
        </is>
      </c>
      <c r="J24" s="10" t="inlineStr">
        <is>
          <t>Wt</t>
        </is>
      </c>
      <c r="K24" s="10" t="inlineStr">
        <is>
          <t>Śr</t>
        </is>
      </c>
      <c r="L24" s="10" t="inlineStr">
        <is>
          <t>Cz</t>
        </is>
      </c>
      <c r="M24" s="10" t="inlineStr">
        <is>
          <t>Pt</t>
        </is>
      </c>
      <c r="N24" s="11" t="inlineStr">
        <is>
          <t>So</t>
        </is>
      </c>
      <c r="O24" s="11" t="inlineStr">
        <is>
          <t>Nd</t>
        </is>
      </c>
      <c r="Q24" s="10" t="inlineStr">
        <is>
          <t>Pn</t>
        </is>
      </c>
      <c r="R24" s="10" t="inlineStr">
        <is>
          <t>Wt</t>
        </is>
      </c>
      <c r="S24" s="10" t="inlineStr">
        <is>
          <t>Śr</t>
        </is>
      </c>
      <c r="T24" s="10" t="inlineStr">
        <is>
          <t>Cz</t>
        </is>
      </c>
      <c r="U24" s="10" t="inlineStr">
        <is>
          <t>Pt</t>
        </is>
      </c>
      <c r="V24" s="11" t="inlineStr">
        <is>
          <t>So</t>
        </is>
      </c>
      <c r="W24" s="11" t="inlineStr">
        <is>
          <t>Nd</t>
        </is>
      </c>
    </row>
    <row r="25">
      <c r="A25" s="12">
        <f>DATE(Rok,7,1)-WEEKDAY(DATE(Rok,7,1),2)+1</f>
        <v/>
      </c>
      <c r="B25" s="12">
        <f>DATE(Rok,7,1)-WEEKDAY(DATE(Rok,7,1),2)+2</f>
        <v/>
      </c>
      <c r="C25" s="12">
        <f>DATE(Rok,7,1)-WEEKDAY(DATE(Rok,7,1),2)+3</f>
        <v/>
      </c>
      <c r="D25" s="12">
        <f>DATE(Rok,7,1)-WEEKDAY(DATE(Rok,7,1),2)+4</f>
        <v/>
      </c>
      <c r="E25" s="12">
        <f>DATE(Rok,7,1)-WEEKDAY(DATE(Rok,7,1),2)+5</f>
        <v/>
      </c>
      <c r="F25" s="12">
        <f>DATE(Rok,7,1)-WEEKDAY(DATE(Rok,7,1),2)+6</f>
        <v/>
      </c>
      <c r="G25" s="12">
        <f>DATE(Rok,7,1)-WEEKDAY(DATE(Rok,7,1),2)+7</f>
        <v/>
      </c>
      <c r="I25" s="12">
        <f>DATE(Rok,8,1)-WEEKDAY(DATE(Rok,8,1),2)+1</f>
        <v/>
      </c>
      <c r="J25" s="12">
        <f>DATE(Rok,8,1)-WEEKDAY(DATE(Rok,8,1),2)+2</f>
        <v/>
      </c>
      <c r="K25" s="12">
        <f>DATE(Rok,8,1)-WEEKDAY(DATE(Rok,8,1),2)+3</f>
        <v/>
      </c>
      <c r="L25" s="12">
        <f>DATE(Rok,8,1)-WEEKDAY(DATE(Rok,8,1),2)+4</f>
        <v/>
      </c>
      <c r="M25" s="12">
        <f>DATE(Rok,8,1)-WEEKDAY(DATE(Rok,8,1),2)+5</f>
        <v/>
      </c>
      <c r="N25" s="12">
        <f>DATE(Rok,8,1)-WEEKDAY(DATE(Rok,8,1),2)+6</f>
        <v/>
      </c>
      <c r="O25" s="12">
        <f>DATE(Rok,8,1)-WEEKDAY(DATE(Rok,8,1),2)+7</f>
        <v/>
      </c>
      <c r="Q25" s="12">
        <f>DATE(Rok,9,1)-WEEKDAY(DATE(Rok,9,1),2)+1</f>
        <v/>
      </c>
      <c r="R25" s="12">
        <f>DATE(Rok,9,1)-WEEKDAY(DATE(Rok,9,1),2)+2</f>
        <v/>
      </c>
      <c r="S25" s="12">
        <f>DATE(Rok,9,1)-WEEKDAY(DATE(Rok,9,1),2)+3</f>
        <v/>
      </c>
      <c r="T25" s="12">
        <f>DATE(Rok,9,1)-WEEKDAY(DATE(Rok,9,1),2)+4</f>
        <v/>
      </c>
      <c r="U25" s="12">
        <f>DATE(Rok,9,1)-WEEKDAY(DATE(Rok,9,1),2)+5</f>
        <v/>
      </c>
      <c r="V25" s="12">
        <f>DATE(Rok,9,1)-WEEKDAY(DATE(Rok,9,1),2)+6</f>
        <v/>
      </c>
      <c r="W25" s="12">
        <f>DATE(Rok,9,1)-WEEKDAY(DATE(Rok,9,1),2)+7</f>
        <v/>
      </c>
    </row>
    <row r="26">
      <c r="A26" s="12">
        <f>DATE(Rok,7,1)-WEEKDAY(DATE(Rok,7,1),2)+8</f>
        <v/>
      </c>
      <c r="B26" s="12">
        <f>DATE(Rok,7,1)-WEEKDAY(DATE(Rok,7,1),2)+9</f>
        <v/>
      </c>
      <c r="C26" s="12">
        <f>DATE(Rok,7,1)-WEEKDAY(DATE(Rok,7,1),2)+10</f>
        <v/>
      </c>
      <c r="D26" s="12">
        <f>DATE(Rok,7,1)-WEEKDAY(DATE(Rok,7,1),2)+11</f>
        <v/>
      </c>
      <c r="E26" s="12">
        <f>DATE(Rok,7,1)-WEEKDAY(DATE(Rok,7,1),2)+12</f>
        <v/>
      </c>
      <c r="F26" s="12">
        <f>DATE(Rok,7,1)-WEEKDAY(DATE(Rok,7,1),2)+13</f>
        <v/>
      </c>
      <c r="G26" s="12">
        <f>DATE(Rok,7,1)-WEEKDAY(DATE(Rok,7,1),2)+14</f>
        <v/>
      </c>
      <c r="I26" s="12">
        <f>DATE(Rok,8,1)-WEEKDAY(DATE(Rok,8,1),2)+8</f>
        <v/>
      </c>
      <c r="J26" s="12">
        <f>DATE(Rok,8,1)-WEEKDAY(DATE(Rok,8,1),2)+9</f>
        <v/>
      </c>
      <c r="K26" s="12">
        <f>DATE(Rok,8,1)-WEEKDAY(DATE(Rok,8,1),2)+10</f>
        <v/>
      </c>
      <c r="L26" s="12">
        <f>DATE(Rok,8,1)-WEEKDAY(DATE(Rok,8,1),2)+11</f>
        <v/>
      </c>
      <c r="M26" s="12">
        <f>DATE(Rok,8,1)-WEEKDAY(DATE(Rok,8,1),2)+12</f>
        <v/>
      </c>
      <c r="N26" s="12">
        <f>DATE(Rok,8,1)-WEEKDAY(DATE(Rok,8,1),2)+13</f>
        <v/>
      </c>
      <c r="O26" s="12">
        <f>DATE(Rok,8,1)-WEEKDAY(DATE(Rok,8,1),2)+14</f>
        <v/>
      </c>
      <c r="Q26" s="12">
        <f>DATE(Rok,9,1)-WEEKDAY(DATE(Rok,9,1),2)+8</f>
        <v/>
      </c>
      <c r="R26" s="12">
        <f>DATE(Rok,9,1)-WEEKDAY(DATE(Rok,9,1),2)+9</f>
        <v/>
      </c>
      <c r="S26" s="12">
        <f>DATE(Rok,9,1)-WEEKDAY(DATE(Rok,9,1),2)+10</f>
        <v/>
      </c>
      <c r="T26" s="12">
        <f>DATE(Rok,9,1)-WEEKDAY(DATE(Rok,9,1),2)+11</f>
        <v/>
      </c>
      <c r="U26" s="12">
        <f>DATE(Rok,9,1)-WEEKDAY(DATE(Rok,9,1),2)+12</f>
        <v/>
      </c>
      <c r="V26" s="12">
        <f>DATE(Rok,9,1)-WEEKDAY(DATE(Rok,9,1),2)+13</f>
        <v/>
      </c>
      <c r="W26" s="12">
        <f>DATE(Rok,9,1)-WEEKDAY(DATE(Rok,9,1),2)+14</f>
        <v/>
      </c>
    </row>
    <row r="27">
      <c r="A27" s="12">
        <f>DATE(Rok,7,1)-WEEKDAY(DATE(Rok,7,1),2)+15</f>
        <v/>
      </c>
      <c r="B27" s="12">
        <f>DATE(Rok,7,1)-WEEKDAY(DATE(Rok,7,1),2)+16</f>
        <v/>
      </c>
      <c r="C27" s="12">
        <f>DATE(Rok,7,1)-WEEKDAY(DATE(Rok,7,1),2)+17</f>
        <v/>
      </c>
      <c r="D27" s="12">
        <f>DATE(Rok,7,1)-WEEKDAY(DATE(Rok,7,1),2)+18</f>
        <v/>
      </c>
      <c r="E27" s="12">
        <f>DATE(Rok,7,1)-WEEKDAY(DATE(Rok,7,1),2)+19</f>
        <v/>
      </c>
      <c r="F27" s="12">
        <f>DATE(Rok,7,1)-WEEKDAY(DATE(Rok,7,1),2)+20</f>
        <v/>
      </c>
      <c r="G27" s="12">
        <f>DATE(Rok,7,1)-WEEKDAY(DATE(Rok,7,1),2)+21</f>
        <v/>
      </c>
      <c r="I27" s="12">
        <f>DATE(Rok,8,1)-WEEKDAY(DATE(Rok,8,1),2)+15</f>
        <v/>
      </c>
      <c r="J27" s="12">
        <f>DATE(Rok,8,1)-WEEKDAY(DATE(Rok,8,1),2)+16</f>
        <v/>
      </c>
      <c r="K27" s="12">
        <f>DATE(Rok,8,1)-WEEKDAY(DATE(Rok,8,1),2)+17</f>
        <v/>
      </c>
      <c r="L27" s="12">
        <f>DATE(Rok,8,1)-WEEKDAY(DATE(Rok,8,1),2)+18</f>
        <v/>
      </c>
      <c r="M27" s="12">
        <f>DATE(Rok,8,1)-WEEKDAY(DATE(Rok,8,1),2)+19</f>
        <v/>
      </c>
      <c r="N27" s="12">
        <f>DATE(Rok,8,1)-WEEKDAY(DATE(Rok,8,1),2)+20</f>
        <v/>
      </c>
      <c r="O27" s="12">
        <f>DATE(Rok,8,1)-WEEKDAY(DATE(Rok,8,1),2)+21</f>
        <v/>
      </c>
      <c r="Q27" s="12">
        <f>DATE(Rok,9,1)-WEEKDAY(DATE(Rok,9,1),2)+15</f>
        <v/>
      </c>
      <c r="R27" s="12">
        <f>DATE(Rok,9,1)-WEEKDAY(DATE(Rok,9,1),2)+16</f>
        <v/>
      </c>
      <c r="S27" s="12">
        <f>DATE(Rok,9,1)-WEEKDAY(DATE(Rok,9,1),2)+17</f>
        <v/>
      </c>
      <c r="T27" s="12">
        <f>DATE(Rok,9,1)-WEEKDAY(DATE(Rok,9,1),2)+18</f>
        <v/>
      </c>
      <c r="U27" s="12">
        <f>DATE(Rok,9,1)-WEEKDAY(DATE(Rok,9,1),2)+19</f>
        <v/>
      </c>
      <c r="V27" s="12">
        <f>DATE(Rok,9,1)-WEEKDAY(DATE(Rok,9,1),2)+20</f>
        <v/>
      </c>
      <c r="W27" s="12">
        <f>DATE(Rok,9,1)-WEEKDAY(DATE(Rok,9,1),2)+21</f>
        <v/>
      </c>
    </row>
    <row r="28">
      <c r="A28" s="12">
        <f>DATE(Rok,7,1)-WEEKDAY(DATE(Rok,7,1),2)+22</f>
        <v/>
      </c>
      <c r="B28" s="12">
        <f>DATE(Rok,7,1)-WEEKDAY(DATE(Rok,7,1),2)+23</f>
        <v/>
      </c>
      <c r="C28" s="12">
        <f>DATE(Rok,7,1)-WEEKDAY(DATE(Rok,7,1),2)+24</f>
        <v/>
      </c>
      <c r="D28" s="12">
        <f>DATE(Rok,7,1)-WEEKDAY(DATE(Rok,7,1),2)+25</f>
        <v/>
      </c>
      <c r="E28" s="12">
        <f>DATE(Rok,7,1)-WEEKDAY(DATE(Rok,7,1),2)+26</f>
        <v/>
      </c>
      <c r="F28" s="12">
        <f>DATE(Rok,7,1)-WEEKDAY(DATE(Rok,7,1),2)+27</f>
        <v/>
      </c>
      <c r="G28" s="12">
        <f>DATE(Rok,7,1)-WEEKDAY(DATE(Rok,7,1),2)+28</f>
        <v/>
      </c>
      <c r="I28" s="12">
        <f>DATE(Rok,8,1)-WEEKDAY(DATE(Rok,8,1),2)+22</f>
        <v/>
      </c>
      <c r="J28" s="12">
        <f>DATE(Rok,8,1)-WEEKDAY(DATE(Rok,8,1),2)+23</f>
        <v/>
      </c>
      <c r="K28" s="12">
        <f>DATE(Rok,8,1)-WEEKDAY(DATE(Rok,8,1),2)+24</f>
        <v/>
      </c>
      <c r="L28" s="12">
        <f>DATE(Rok,8,1)-WEEKDAY(DATE(Rok,8,1),2)+25</f>
        <v/>
      </c>
      <c r="M28" s="12">
        <f>DATE(Rok,8,1)-WEEKDAY(DATE(Rok,8,1),2)+26</f>
        <v/>
      </c>
      <c r="N28" s="12">
        <f>DATE(Rok,8,1)-WEEKDAY(DATE(Rok,8,1),2)+27</f>
        <v/>
      </c>
      <c r="O28" s="12">
        <f>DATE(Rok,8,1)-WEEKDAY(DATE(Rok,8,1),2)+28</f>
        <v/>
      </c>
      <c r="Q28" s="12">
        <f>DATE(Rok,9,1)-WEEKDAY(DATE(Rok,9,1),2)+22</f>
        <v/>
      </c>
      <c r="R28" s="12">
        <f>DATE(Rok,9,1)-WEEKDAY(DATE(Rok,9,1),2)+23</f>
        <v/>
      </c>
      <c r="S28" s="12">
        <f>DATE(Rok,9,1)-WEEKDAY(DATE(Rok,9,1),2)+24</f>
        <v/>
      </c>
      <c r="T28" s="12">
        <f>DATE(Rok,9,1)-WEEKDAY(DATE(Rok,9,1),2)+25</f>
        <v/>
      </c>
      <c r="U28" s="12">
        <f>DATE(Rok,9,1)-WEEKDAY(DATE(Rok,9,1),2)+26</f>
        <v/>
      </c>
      <c r="V28" s="12">
        <f>DATE(Rok,9,1)-WEEKDAY(DATE(Rok,9,1),2)+27</f>
        <v/>
      </c>
      <c r="W28" s="12">
        <f>DATE(Rok,9,1)-WEEKDAY(DATE(Rok,9,1),2)+28</f>
        <v/>
      </c>
    </row>
    <row r="29">
      <c r="A29" s="12">
        <f>DATE(Rok,7,1)-WEEKDAY(DATE(Rok,7,1),2)+29</f>
        <v/>
      </c>
      <c r="B29" s="12">
        <f>DATE(Rok,7,1)-WEEKDAY(DATE(Rok,7,1),2)+30</f>
        <v/>
      </c>
      <c r="C29" s="12">
        <f>DATE(Rok,7,1)-WEEKDAY(DATE(Rok,7,1),2)+31</f>
        <v/>
      </c>
      <c r="D29" s="12">
        <f>DATE(Rok,7,1)-WEEKDAY(DATE(Rok,7,1),2)+32</f>
        <v/>
      </c>
      <c r="E29" s="12">
        <f>DATE(Rok,7,1)-WEEKDAY(DATE(Rok,7,1),2)+33</f>
        <v/>
      </c>
      <c r="F29" s="12">
        <f>DATE(Rok,7,1)-WEEKDAY(DATE(Rok,7,1),2)+34</f>
        <v/>
      </c>
      <c r="G29" s="12">
        <f>DATE(Rok,7,1)-WEEKDAY(DATE(Rok,7,1),2)+35</f>
        <v/>
      </c>
      <c r="I29" s="12">
        <f>DATE(Rok,8,1)-WEEKDAY(DATE(Rok,8,1),2)+29</f>
        <v/>
      </c>
      <c r="J29" s="12">
        <f>DATE(Rok,8,1)-WEEKDAY(DATE(Rok,8,1),2)+30</f>
        <v/>
      </c>
      <c r="K29" s="12">
        <f>DATE(Rok,8,1)-WEEKDAY(DATE(Rok,8,1),2)+31</f>
        <v/>
      </c>
      <c r="L29" s="12">
        <f>DATE(Rok,8,1)-WEEKDAY(DATE(Rok,8,1),2)+32</f>
        <v/>
      </c>
      <c r="M29" s="12">
        <f>DATE(Rok,8,1)-WEEKDAY(DATE(Rok,8,1),2)+33</f>
        <v/>
      </c>
      <c r="N29" s="12">
        <f>DATE(Rok,8,1)-WEEKDAY(DATE(Rok,8,1),2)+34</f>
        <v/>
      </c>
      <c r="O29" s="12">
        <f>DATE(Rok,8,1)-WEEKDAY(DATE(Rok,8,1),2)+35</f>
        <v/>
      </c>
      <c r="Q29" s="12">
        <f>DATE(Rok,9,1)-WEEKDAY(DATE(Rok,9,1),2)+29</f>
        <v/>
      </c>
      <c r="R29" s="12">
        <f>DATE(Rok,9,1)-WEEKDAY(DATE(Rok,9,1),2)+30</f>
        <v/>
      </c>
      <c r="S29" s="12">
        <f>DATE(Rok,9,1)-WEEKDAY(DATE(Rok,9,1),2)+31</f>
        <v/>
      </c>
      <c r="T29" s="12">
        <f>DATE(Rok,9,1)-WEEKDAY(DATE(Rok,9,1),2)+32</f>
        <v/>
      </c>
      <c r="U29" s="12">
        <f>DATE(Rok,9,1)-WEEKDAY(DATE(Rok,9,1),2)+33</f>
        <v/>
      </c>
      <c r="V29" s="12">
        <f>DATE(Rok,9,1)-WEEKDAY(DATE(Rok,9,1),2)+34</f>
        <v/>
      </c>
      <c r="W29" s="12">
        <f>DATE(Rok,9,1)-WEEKDAY(DATE(Rok,9,1),2)+35</f>
        <v/>
      </c>
    </row>
    <row r="30">
      <c r="A30" s="12">
        <f>DATE(Rok,7,1)-WEEKDAY(DATE(Rok,7,1),2)+36</f>
        <v/>
      </c>
      <c r="B30" s="12">
        <f>DATE(Rok,7,1)-WEEKDAY(DATE(Rok,7,1),2)+37</f>
        <v/>
      </c>
      <c r="C30" s="12">
        <f>DATE(Rok,7,1)-WEEKDAY(DATE(Rok,7,1),2)+38</f>
        <v/>
      </c>
      <c r="D30" s="12">
        <f>DATE(Rok,7,1)-WEEKDAY(DATE(Rok,7,1),2)+39</f>
        <v/>
      </c>
      <c r="E30" s="12">
        <f>DATE(Rok,7,1)-WEEKDAY(DATE(Rok,7,1),2)+40</f>
        <v/>
      </c>
      <c r="F30" s="12">
        <f>DATE(Rok,7,1)-WEEKDAY(DATE(Rok,7,1),2)+41</f>
        <v/>
      </c>
      <c r="G30" s="12">
        <f>DATE(Rok,7,1)-WEEKDAY(DATE(Rok,7,1),2)+42</f>
        <v/>
      </c>
      <c r="I30" s="12">
        <f>DATE(Rok,8,1)-WEEKDAY(DATE(Rok,8,1),2)+36</f>
        <v/>
      </c>
      <c r="J30" s="12">
        <f>DATE(Rok,8,1)-WEEKDAY(DATE(Rok,8,1),2)+37</f>
        <v/>
      </c>
      <c r="K30" s="12">
        <f>DATE(Rok,8,1)-WEEKDAY(DATE(Rok,8,1),2)+38</f>
        <v/>
      </c>
      <c r="L30" s="12">
        <f>DATE(Rok,8,1)-WEEKDAY(DATE(Rok,8,1),2)+39</f>
        <v/>
      </c>
      <c r="M30" s="12">
        <f>DATE(Rok,8,1)-WEEKDAY(DATE(Rok,8,1),2)+40</f>
        <v/>
      </c>
      <c r="N30" s="12">
        <f>DATE(Rok,8,1)-WEEKDAY(DATE(Rok,8,1),2)+41</f>
        <v/>
      </c>
      <c r="O30" s="12">
        <f>DATE(Rok,8,1)-WEEKDAY(DATE(Rok,8,1),2)+42</f>
        <v/>
      </c>
      <c r="Q30" s="12">
        <f>DATE(Rok,9,1)-WEEKDAY(DATE(Rok,9,1),2)+36</f>
        <v/>
      </c>
      <c r="R30" s="12">
        <f>DATE(Rok,9,1)-WEEKDAY(DATE(Rok,9,1),2)+37</f>
        <v/>
      </c>
      <c r="S30" s="12">
        <f>DATE(Rok,9,1)-WEEKDAY(DATE(Rok,9,1),2)+38</f>
        <v/>
      </c>
      <c r="T30" s="12">
        <f>DATE(Rok,9,1)-WEEKDAY(DATE(Rok,9,1),2)+39</f>
        <v/>
      </c>
      <c r="U30" s="12">
        <f>DATE(Rok,9,1)-WEEKDAY(DATE(Rok,9,1),2)+40</f>
        <v/>
      </c>
      <c r="V30" s="12">
        <f>DATE(Rok,9,1)-WEEKDAY(DATE(Rok,9,1),2)+41</f>
        <v/>
      </c>
      <c r="W30" s="12">
        <f>DATE(Rok,9,1)-WEEKDAY(DATE(Rok,9,1),2)+42</f>
        <v/>
      </c>
    </row>
    <row r="31">
      <c r="A31" s="13">
        <f>"Dni pracy: "&amp;'Wymiar czasu pracy'!G11&amp;"   Godziny: "&amp;'Wymiar czasu pracy'!H11</f>
        <v/>
      </c>
      <c r="I31" s="13">
        <f>"Dni pracy: "&amp;'Wymiar czasu pracy'!G12&amp;"   Godziny: "&amp;'Wymiar czasu pracy'!H12</f>
        <v/>
      </c>
      <c r="Q31" s="13">
        <f>"Dni pracy: "&amp;'Wymiar czasu pracy'!G13&amp;"   Godziny: "&amp;'Wymiar czasu pracy'!H13</f>
        <v/>
      </c>
    </row>
    <row r="33">
      <c r="A33" s="9">
        <f>DATE(Rok,10,1)</f>
        <v/>
      </c>
      <c r="I33" s="9">
        <f>DATE(Rok,11,1)</f>
        <v/>
      </c>
      <c r="Q33" s="9">
        <f>DATE(Rok,12,1)</f>
        <v/>
      </c>
    </row>
    <row r="34">
      <c r="A34" s="10" t="inlineStr">
        <is>
          <t>Pn</t>
        </is>
      </c>
      <c r="B34" s="10" t="inlineStr">
        <is>
          <t>Wt</t>
        </is>
      </c>
      <c r="C34" s="10" t="inlineStr">
        <is>
          <t>Śr</t>
        </is>
      </c>
      <c r="D34" s="10" t="inlineStr">
        <is>
          <t>Cz</t>
        </is>
      </c>
      <c r="E34" s="10" t="inlineStr">
        <is>
          <t>Pt</t>
        </is>
      </c>
      <c r="F34" s="11" t="inlineStr">
        <is>
          <t>So</t>
        </is>
      </c>
      <c r="G34" s="11" t="inlineStr">
        <is>
          <t>Nd</t>
        </is>
      </c>
      <c r="I34" s="10" t="inlineStr">
        <is>
          <t>Pn</t>
        </is>
      </c>
      <c r="J34" s="10" t="inlineStr">
        <is>
          <t>Wt</t>
        </is>
      </c>
      <c r="K34" s="10" t="inlineStr">
        <is>
          <t>Śr</t>
        </is>
      </c>
      <c r="L34" s="10" t="inlineStr">
        <is>
          <t>Cz</t>
        </is>
      </c>
      <c r="M34" s="10" t="inlineStr">
        <is>
          <t>Pt</t>
        </is>
      </c>
      <c r="N34" s="11" t="inlineStr">
        <is>
          <t>So</t>
        </is>
      </c>
      <c r="O34" s="11" t="inlineStr">
        <is>
          <t>Nd</t>
        </is>
      </c>
      <c r="Q34" s="10" t="inlineStr">
        <is>
          <t>Pn</t>
        </is>
      </c>
      <c r="R34" s="10" t="inlineStr">
        <is>
          <t>Wt</t>
        </is>
      </c>
      <c r="S34" s="10" t="inlineStr">
        <is>
          <t>Śr</t>
        </is>
      </c>
      <c r="T34" s="10" t="inlineStr">
        <is>
          <t>Cz</t>
        </is>
      </c>
      <c r="U34" s="10" t="inlineStr">
        <is>
          <t>Pt</t>
        </is>
      </c>
      <c r="V34" s="11" t="inlineStr">
        <is>
          <t>So</t>
        </is>
      </c>
      <c r="W34" s="11" t="inlineStr">
        <is>
          <t>Nd</t>
        </is>
      </c>
    </row>
    <row r="35">
      <c r="A35" s="12">
        <f>DATE(Rok,10,1)-WEEKDAY(DATE(Rok,10,1),2)+1</f>
        <v/>
      </c>
      <c r="B35" s="12">
        <f>DATE(Rok,10,1)-WEEKDAY(DATE(Rok,10,1),2)+2</f>
        <v/>
      </c>
      <c r="C35" s="12">
        <f>DATE(Rok,10,1)-WEEKDAY(DATE(Rok,10,1),2)+3</f>
        <v/>
      </c>
      <c r="D35" s="12">
        <f>DATE(Rok,10,1)-WEEKDAY(DATE(Rok,10,1),2)+4</f>
        <v/>
      </c>
      <c r="E35" s="12">
        <f>DATE(Rok,10,1)-WEEKDAY(DATE(Rok,10,1),2)+5</f>
        <v/>
      </c>
      <c r="F35" s="12">
        <f>DATE(Rok,10,1)-WEEKDAY(DATE(Rok,10,1),2)+6</f>
        <v/>
      </c>
      <c r="G35" s="12">
        <f>DATE(Rok,10,1)-WEEKDAY(DATE(Rok,10,1),2)+7</f>
        <v/>
      </c>
      <c r="I35" s="12">
        <f>DATE(Rok,11,1)-WEEKDAY(DATE(Rok,11,1),2)+1</f>
        <v/>
      </c>
      <c r="J35" s="12">
        <f>DATE(Rok,11,1)-WEEKDAY(DATE(Rok,11,1),2)+2</f>
        <v/>
      </c>
      <c r="K35" s="12">
        <f>DATE(Rok,11,1)-WEEKDAY(DATE(Rok,11,1),2)+3</f>
        <v/>
      </c>
      <c r="L35" s="12">
        <f>DATE(Rok,11,1)-WEEKDAY(DATE(Rok,11,1),2)+4</f>
        <v/>
      </c>
      <c r="M35" s="12">
        <f>DATE(Rok,11,1)-WEEKDAY(DATE(Rok,11,1),2)+5</f>
        <v/>
      </c>
      <c r="N35" s="12">
        <f>DATE(Rok,11,1)-WEEKDAY(DATE(Rok,11,1),2)+6</f>
        <v/>
      </c>
      <c r="O35" s="12">
        <f>DATE(Rok,11,1)-WEEKDAY(DATE(Rok,11,1),2)+7</f>
        <v/>
      </c>
      <c r="Q35" s="12">
        <f>DATE(Rok,12,1)-WEEKDAY(DATE(Rok,12,1),2)+1</f>
        <v/>
      </c>
      <c r="R35" s="12">
        <f>DATE(Rok,12,1)-WEEKDAY(DATE(Rok,12,1),2)+2</f>
        <v/>
      </c>
      <c r="S35" s="12">
        <f>DATE(Rok,12,1)-WEEKDAY(DATE(Rok,12,1),2)+3</f>
        <v/>
      </c>
      <c r="T35" s="12">
        <f>DATE(Rok,12,1)-WEEKDAY(DATE(Rok,12,1),2)+4</f>
        <v/>
      </c>
      <c r="U35" s="12">
        <f>DATE(Rok,12,1)-WEEKDAY(DATE(Rok,12,1),2)+5</f>
        <v/>
      </c>
      <c r="V35" s="12">
        <f>DATE(Rok,12,1)-WEEKDAY(DATE(Rok,12,1),2)+6</f>
        <v/>
      </c>
      <c r="W35" s="12">
        <f>DATE(Rok,12,1)-WEEKDAY(DATE(Rok,12,1),2)+7</f>
        <v/>
      </c>
    </row>
    <row r="36">
      <c r="A36" s="12">
        <f>DATE(Rok,10,1)-WEEKDAY(DATE(Rok,10,1),2)+8</f>
        <v/>
      </c>
      <c r="B36" s="12">
        <f>DATE(Rok,10,1)-WEEKDAY(DATE(Rok,10,1),2)+9</f>
        <v/>
      </c>
      <c r="C36" s="12">
        <f>DATE(Rok,10,1)-WEEKDAY(DATE(Rok,10,1),2)+10</f>
        <v/>
      </c>
      <c r="D36" s="12">
        <f>DATE(Rok,10,1)-WEEKDAY(DATE(Rok,10,1),2)+11</f>
        <v/>
      </c>
      <c r="E36" s="12">
        <f>DATE(Rok,10,1)-WEEKDAY(DATE(Rok,10,1),2)+12</f>
        <v/>
      </c>
      <c r="F36" s="12">
        <f>DATE(Rok,10,1)-WEEKDAY(DATE(Rok,10,1),2)+13</f>
        <v/>
      </c>
      <c r="G36" s="12">
        <f>DATE(Rok,10,1)-WEEKDAY(DATE(Rok,10,1),2)+14</f>
        <v/>
      </c>
      <c r="I36" s="12">
        <f>DATE(Rok,11,1)-WEEKDAY(DATE(Rok,11,1),2)+8</f>
        <v/>
      </c>
      <c r="J36" s="12">
        <f>DATE(Rok,11,1)-WEEKDAY(DATE(Rok,11,1),2)+9</f>
        <v/>
      </c>
      <c r="K36" s="12">
        <f>DATE(Rok,11,1)-WEEKDAY(DATE(Rok,11,1),2)+10</f>
        <v/>
      </c>
      <c r="L36" s="12">
        <f>DATE(Rok,11,1)-WEEKDAY(DATE(Rok,11,1),2)+11</f>
        <v/>
      </c>
      <c r="M36" s="12">
        <f>DATE(Rok,11,1)-WEEKDAY(DATE(Rok,11,1),2)+12</f>
        <v/>
      </c>
      <c r="N36" s="12">
        <f>DATE(Rok,11,1)-WEEKDAY(DATE(Rok,11,1),2)+13</f>
        <v/>
      </c>
      <c r="O36" s="12">
        <f>DATE(Rok,11,1)-WEEKDAY(DATE(Rok,11,1),2)+14</f>
        <v/>
      </c>
      <c r="Q36" s="12">
        <f>DATE(Rok,12,1)-WEEKDAY(DATE(Rok,12,1),2)+8</f>
        <v/>
      </c>
      <c r="R36" s="12">
        <f>DATE(Rok,12,1)-WEEKDAY(DATE(Rok,12,1),2)+9</f>
        <v/>
      </c>
      <c r="S36" s="12">
        <f>DATE(Rok,12,1)-WEEKDAY(DATE(Rok,12,1),2)+10</f>
        <v/>
      </c>
      <c r="T36" s="12">
        <f>DATE(Rok,12,1)-WEEKDAY(DATE(Rok,12,1),2)+11</f>
        <v/>
      </c>
      <c r="U36" s="12">
        <f>DATE(Rok,12,1)-WEEKDAY(DATE(Rok,12,1),2)+12</f>
        <v/>
      </c>
      <c r="V36" s="12">
        <f>DATE(Rok,12,1)-WEEKDAY(DATE(Rok,12,1),2)+13</f>
        <v/>
      </c>
      <c r="W36" s="12">
        <f>DATE(Rok,12,1)-WEEKDAY(DATE(Rok,12,1),2)+14</f>
        <v/>
      </c>
    </row>
    <row r="37">
      <c r="A37" s="12">
        <f>DATE(Rok,10,1)-WEEKDAY(DATE(Rok,10,1),2)+15</f>
        <v/>
      </c>
      <c r="B37" s="12">
        <f>DATE(Rok,10,1)-WEEKDAY(DATE(Rok,10,1),2)+16</f>
        <v/>
      </c>
      <c r="C37" s="12">
        <f>DATE(Rok,10,1)-WEEKDAY(DATE(Rok,10,1),2)+17</f>
        <v/>
      </c>
      <c r="D37" s="12">
        <f>DATE(Rok,10,1)-WEEKDAY(DATE(Rok,10,1),2)+18</f>
        <v/>
      </c>
      <c r="E37" s="12">
        <f>DATE(Rok,10,1)-WEEKDAY(DATE(Rok,10,1),2)+19</f>
        <v/>
      </c>
      <c r="F37" s="12">
        <f>DATE(Rok,10,1)-WEEKDAY(DATE(Rok,10,1),2)+20</f>
        <v/>
      </c>
      <c r="G37" s="12">
        <f>DATE(Rok,10,1)-WEEKDAY(DATE(Rok,10,1),2)+21</f>
        <v/>
      </c>
      <c r="I37" s="12">
        <f>DATE(Rok,11,1)-WEEKDAY(DATE(Rok,11,1),2)+15</f>
        <v/>
      </c>
      <c r="J37" s="12">
        <f>DATE(Rok,11,1)-WEEKDAY(DATE(Rok,11,1),2)+16</f>
        <v/>
      </c>
      <c r="K37" s="12">
        <f>DATE(Rok,11,1)-WEEKDAY(DATE(Rok,11,1),2)+17</f>
        <v/>
      </c>
      <c r="L37" s="12">
        <f>DATE(Rok,11,1)-WEEKDAY(DATE(Rok,11,1),2)+18</f>
        <v/>
      </c>
      <c r="M37" s="12">
        <f>DATE(Rok,11,1)-WEEKDAY(DATE(Rok,11,1),2)+19</f>
        <v/>
      </c>
      <c r="N37" s="12">
        <f>DATE(Rok,11,1)-WEEKDAY(DATE(Rok,11,1),2)+20</f>
        <v/>
      </c>
      <c r="O37" s="12">
        <f>DATE(Rok,11,1)-WEEKDAY(DATE(Rok,11,1),2)+21</f>
        <v/>
      </c>
      <c r="Q37" s="12">
        <f>DATE(Rok,12,1)-WEEKDAY(DATE(Rok,12,1),2)+15</f>
        <v/>
      </c>
      <c r="R37" s="12">
        <f>DATE(Rok,12,1)-WEEKDAY(DATE(Rok,12,1),2)+16</f>
        <v/>
      </c>
      <c r="S37" s="12">
        <f>DATE(Rok,12,1)-WEEKDAY(DATE(Rok,12,1),2)+17</f>
        <v/>
      </c>
      <c r="T37" s="12">
        <f>DATE(Rok,12,1)-WEEKDAY(DATE(Rok,12,1),2)+18</f>
        <v/>
      </c>
      <c r="U37" s="12">
        <f>DATE(Rok,12,1)-WEEKDAY(DATE(Rok,12,1),2)+19</f>
        <v/>
      </c>
      <c r="V37" s="12">
        <f>DATE(Rok,12,1)-WEEKDAY(DATE(Rok,12,1),2)+20</f>
        <v/>
      </c>
      <c r="W37" s="12">
        <f>DATE(Rok,12,1)-WEEKDAY(DATE(Rok,12,1),2)+21</f>
        <v/>
      </c>
    </row>
    <row r="38">
      <c r="A38" s="12">
        <f>DATE(Rok,10,1)-WEEKDAY(DATE(Rok,10,1),2)+22</f>
        <v/>
      </c>
      <c r="B38" s="12">
        <f>DATE(Rok,10,1)-WEEKDAY(DATE(Rok,10,1),2)+23</f>
        <v/>
      </c>
      <c r="C38" s="12">
        <f>DATE(Rok,10,1)-WEEKDAY(DATE(Rok,10,1),2)+24</f>
        <v/>
      </c>
      <c r="D38" s="12">
        <f>DATE(Rok,10,1)-WEEKDAY(DATE(Rok,10,1),2)+25</f>
        <v/>
      </c>
      <c r="E38" s="12">
        <f>DATE(Rok,10,1)-WEEKDAY(DATE(Rok,10,1),2)+26</f>
        <v/>
      </c>
      <c r="F38" s="12">
        <f>DATE(Rok,10,1)-WEEKDAY(DATE(Rok,10,1),2)+27</f>
        <v/>
      </c>
      <c r="G38" s="12">
        <f>DATE(Rok,10,1)-WEEKDAY(DATE(Rok,10,1),2)+28</f>
        <v/>
      </c>
      <c r="I38" s="12">
        <f>DATE(Rok,11,1)-WEEKDAY(DATE(Rok,11,1),2)+22</f>
        <v/>
      </c>
      <c r="J38" s="12">
        <f>DATE(Rok,11,1)-WEEKDAY(DATE(Rok,11,1),2)+23</f>
        <v/>
      </c>
      <c r="K38" s="12">
        <f>DATE(Rok,11,1)-WEEKDAY(DATE(Rok,11,1),2)+24</f>
        <v/>
      </c>
      <c r="L38" s="12">
        <f>DATE(Rok,11,1)-WEEKDAY(DATE(Rok,11,1),2)+25</f>
        <v/>
      </c>
      <c r="M38" s="12">
        <f>DATE(Rok,11,1)-WEEKDAY(DATE(Rok,11,1),2)+26</f>
        <v/>
      </c>
      <c r="N38" s="12">
        <f>DATE(Rok,11,1)-WEEKDAY(DATE(Rok,11,1),2)+27</f>
        <v/>
      </c>
      <c r="O38" s="12">
        <f>DATE(Rok,11,1)-WEEKDAY(DATE(Rok,11,1),2)+28</f>
        <v/>
      </c>
      <c r="Q38" s="12">
        <f>DATE(Rok,12,1)-WEEKDAY(DATE(Rok,12,1),2)+22</f>
        <v/>
      </c>
      <c r="R38" s="12">
        <f>DATE(Rok,12,1)-WEEKDAY(DATE(Rok,12,1),2)+23</f>
        <v/>
      </c>
      <c r="S38" s="12">
        <f>DATE(Rok,12,1)-WEEKDAY(DATE(Rok,12,1),2)+24</f>
        <v/>
      </c>
      <c r="T38" s="12">
        <f>DATE(Rok,12,1)-WEEKDAY(DATE(Rok,12,1),2)+25</f>
        <v/>
      </c>
      <c r="U38" s="12">
        <f>DATE(Rok,12,1)-WEEKDAY(DATE(Rok,12,1),2)+26</f>
        <v/>
      </c>
      <c r="V38" s="12">
        <f>DATE(Rok,12,1)-WEEKDAY(DATE(Rok,12,1),2)+27</f>
        <v/>
      </c>
      <c r="W38" s="12">
        <f>DATE(Rok,12,1)-WEEKDAY(DATE(Rok,12,1),2)+28</f>
        <v/>
      </c>
    </row>
    <row r="39">
      <c r="A39" s="12">
        <f>DATE(Rok,10,1)-WEEKDAY(DATE(Rok,10,1),2)+29</f>
        <v/>
      </c>
      <c r="B39" s="12">
        <f>DATE(Rok,10,1)-WEEKDAY(DATE(Rok,10,1),2)+30</f>
        <v/>
      </c>
      <c r="C39" s="12">
        <f>DATE(Rok,10,1)-WEEKDAY(DATE(Rok,10,1),2)+31</f>
        <v/>
      </c>
      <c r="D39" s="12">
        <f>DATE(Rok,10,1)-WEEKDAY(DATE(Rok,10,1),2)+32</f>
        <v/>
      </c>
      <c r="E39" s="12">
        <f>DATE(Rok,10,1)-WEEKDAY(DATE(Rok,10,1),2)+33</f>
        <v/>
      </c>
      <c r="F39" s="12">
        <f>DATE(Rok,10,1)-WEEKDAY(DATE(Rok,10,1),2)+34</f>
        <v/>
      </c>
      <c r="G39" s="12">
        <f>DATE(Rok,10,1)-WEEKDAY(DATE(Rok,10,1),2)+35</f>
        <v/>
      </c>
      <c r="I39" s="12">
        <f>DATE(Rok,11,1)-WEEKDAY(DATE(Rok,11,1),2)+29</f>
        <v/>
      </c>
      <c r="J39" s="12">
        <f>DATE(Rok,11,1)-WEEKDAY(DATE(Rok,11,1),2)+30</f>
        <v/>
      </c>
      <c r="K39" s="12">
        <f>DATE(Rok,11,1)-WEEKDAY(DATE(Rok,11,1),2)+31</f>
        <v/>
      </c>
      <c r="L39" s="12">
        <f>DATE(Rok,11,1)-WEEKDAY(DATE(Rok,11,1),2)+32</f>
        <v/>
      </c>
      <c r="M39" s="12">
        <f>DATE(Rok,11,1)-WEEKDAY(DATE(Rok,11,1),2)+33</f>
        <v/>
      </c>
      <c r="N39" s="12">
        <f>DATE(Rok,11,1)-WEEKDAY(DATE(Rok,11,1),2)+34</f>
        <v/>
      </c>
      <c r="O39" s="12">
        <f>DATE(Rok,11,1)-WEEKDAY(DATE(Rok,11,1),2)+35</f>
        <v/>
      </c>
      <c r="Q39" s="12">
        <f>DATE(Rok,12,1)-WEEKDAY(DATE(Rok,12,1),2)+29</f>
        <v/>
      </c>
      <c r="R39" s="12">
        <f>DATE(Rok,12,1)-WEEKDAY(DATE(Rok,12,1),2)+30</f>
        <v/>
      </c>
      <c r="S39" s="12">
        <f>DATE(Rok,12,1)-WEEKDAY(DATE(Rok,12,1),2)+31</f>
        <v/>
      </c>
      <c r="T39" s="12">
        <f>DATE(Rok,12,1)-WEEKDAY(DATE(Rok,12,1),2)+32</f>
        <v/>
      </c>
      <c r="U39" s="12">
        <f>DATE(Rok,12,1)-WEEKDAY(DATE(Rok,12,1),2)+33</f>
        <v/>
      </c>
      <c r="V39" s="12">
        <f>DATE(Rok,12,1)-WEEKDAY(DATE(Rok,12,1),2)+34</f>
        <v/>
      </c>
      <c r="W39" s="12">
        <f>DATE(Rok,12,1)-WEEKDAY(DATE(Rok,12,1),2)+35</f>
        <v/>
      </c>
    </row>
    <row r="40">
      <c r="A40" s="12">
        <f>DATE(Rok,10,1)-WEEKDAY(DATE(Rok,10,1),2)+36</f>
        <v/>
      </c>
      <c r="B40" s="12">
        <f>DATE(Rok,10,1)-WEEKDAY(DATE(Rok,10,1),2)+37</f>
        <v/>
      </c>
      <c r="C40" s="12">
        <f>DATE(Rok,10,1)-WEEKDAY(DATE(Rok,10,1),2)+38</f>
        <v/>
      </c>
      <c r="D40" s="12">
        <f>DATE(Rok,10,1)-WEEKDAY(DATE(Rok,10,1),2)+39</f>
        <v/>
      </c>
      <c r="E40" s="12">
        <f>DATE(Rok,10,1)-WEEKDAY(DATE(Rok,10,1),2)+40</f>
        <v/>
      </c>
      <c r="F40" s="12">
        <f>DATE(Rok,10,1)-WEEKDAY(DATE(Rok,10,1),2)+41</f>
        <v/>
      </c>
      <c r="G40" s="12">
        <f>DATE(Rok,10,1)-WEEKDAY(DATE(Rok,10,1),2)+42</f>
        <v/>
      </c>
      <c r="I40" s="12">
        <f>DATE(Rok,11,1)-WEEKDAY(DATE(Rok,11,1),2)+36</f>
        <v/>
      </c>
      <c r="J40" s="12">
        <f>DATE(Rok,11,1)-WEEKDAY(DATE(Rok,11,1),2)+37</f>
        <v/>
      </c>
      <c r="K40" s="12">
        <f>DATE(Rok,11,1)-WEEKDAY(DATE(Rok,11,1),2)+38</f>
        <v/>
      </c>
      <c r="L40" s="12">
        <f>DATE(Rok,11,1)-WEEKDAY(DATE(Rok,11,1),2)+39</f>
        <v/>
      </c>
      <c r="M40" s="12">
        <f>DATE(Rok,11,1)-WEEKDAY(DATE(Rok,11,1),2)+40</f>
        <v/>
      </c>
      <c r="N40" s="12">
        <f>DATE(Rok,11,1)-WEEKDAY(DATE(Rok,11,1),2)+41</f>
        <v/>
      </c>
      <c r="O40" s="12">
        <f>DATE(Rok,11,1)-WEEKDAY(DATE(Rok,11,1),2)+42</f>
        <v/>
      </c>
      <c r="Q40" s="12">
        <f>DATE(Rok,12,1)-WEEKDAY(DATE(Rok,12,1),2)+36</f>
        <v/>
      </c>
      <c r="R40" s="12">
        <f>DATE(Rok,12,1)-WEEKDAY(DATE(Rok,12,1),2)+37</f>
        <v/>
      </c>
      <c r="S40" s="12">
        <f>DATE(Rok,12,1)-WEEKDAY(DATE(Rok,12,1),2)+38</f>
        <v/>
      </c>
      <c r="T40" s="12">
        <f>DATE(Rok,12,1)-WEEKDAY(DATE(Rok,12,1),2)+39</f>
        <v/>
      </c>
      <c r="U40" s="12">
        <f>DATE(Rok,12,1)-WEEKDAY(DATE(Rok,12,1),2)+40</f>
        <v/>
      </c>
      <c r="V40" s="12">
        <f>DATE(Rok,12,1)-WEEKDAY(DATE(Rok,12,1),2)+41</f>
        <v/>
      </c>
      <c r="W40" s="12">
        <f>DATE(Rok,12,1)-WEEKDAY(DATE(Rok,12,1),2)+42</f>
        <v/>
      </c>
    </row>
    <row r="41">
      <c r="A41" s="13">
        <f>"Dni pracy: "&amp;'Wymiar czasu pracy'!G14&amp;"   Godziny: "&amp;'Wymiar czasu pracy'!H14</f>
        <v/>
      </c>
      <c r="I41" s="13">
        <f>"Dni pracy: "&amp;'Wymiar czasu pracy'!G15&amp;"   Godziny: "&amp;'Wymiar czasu pracy'!H15</f>
        <v/>
      </c>
      <c r="Q41" s="13">
        <f>"Dni pracy: "&amp;'Wymiar czasu pracy'!G16&amp;"   Godziny: "&amp;'Wymiar czasu pracy'!H16</f>
        <v/>
      </c>
    </row>
  </sheetData>
  <mergeCells count="29">
    <mergeCell ref="I23:O23"/>
    <mergeCell ref="O1:Q1"/>
    <mergeCell ref="Q11:W11"/>
    <mergeCell ref="M1:N1"/>
    <mergeCell ref="I13:O13"/>
    <mergeCell ref="A13:G13"/>
    <mergeCell ref="Q41:W41"/>
    <mergeCell ref="I31:O31"/>
    <mergeCell ref="Q13:W13"/>
    <mergeCell ref="A31:G31"/>
    <mergeCell ref="K1:L1"/>
    <mergeCell ref="Q3:W3"/>
    <mergeCell ref="Q21:W21"/>
    <mergeCell ref="A11:G11"/>
    <mergeCell ref="I11:O11"/>
    <mergeCell ref="Q33:W33"/>
    <mergeCell ref="T1:U1"/>
    <mergeCell ref="A41:G41"/>
    <mergeCell ref="Q23:W23"/>
    <mergeCell ref="I41:O41"/>
    <mergeCell ref="A3:G3"/>
    <mergeCell ref="A21:G21"/>
    <mergeCell ref="Q31:W31"/>
    <mergeCell ref="I3:O3"/>
    <mergeCell ref="I21:O21"/>
    <mergeCell ref="A33:G33"/>
    <mergeCell ref="R1:S1"/>
    <mergeCell ref="I33:O33"/>
    <mergeCell ref="A23:G23"/>
  </mergeCells>
  <conditionalFormatting sqref="A5:G10">
    <cfRule type="expression" priority="1" dxfId="0" stopIfTrue="1">
      <formula>MONTH(A5)&lt;&gt;1</formula>
    </cfRule>
    <cfRule type="expression" priority="2" dxfId="1" stopIfTrue="1">
      <formula>A5=TODAY()</formula>
    </cfRule>
    <cfRule type="expression" priority="3" dxfId="2" stopIfTrue="1">
      <formula>COUNTIF(SwietaUstawowe,A5)&gt;0</formula>
    </cfRule>
    <cfRule type="expression" priority="4" dxfId="3" stopIfTrue="1">
      <formula>COUNTIF(DniDodatkowe,A5)&gt;0</formula>
    </cfRule>
    <cfRule type="expression" priority="5" dxfId="4" stopIfTrue="1">
      <formula>WEEKDAY(A5,2)&gt;5</formula>
    </cfRule>
  </conditionalFormatting>
  <conditionalFormatting sqref="I5:O10">
    <cfRule type="expression" priority="6" dxfId="0" stopIfTrue="1">
      <formula>MONTH(I5)&lt;&gt;2</formula>
    </cfRule>
    <cfRule type="expression" priority="7" dxfId="1" stopIfTrue="1">
      <formula>I5=TODAY()</formula>
    </cfRule>
    <cfRule type="expression" priority="8" dxfId="2" stopIfTrue="1">
      <formula>COUNTIF(SwietaUstawowe,I5)&gt;0</formula>
    </cfRule>
    <cfRule type="expression" priority="9" dxfId="3" stopIfTrue="1">
      <formula>COUNTIF(DniDodatkowe,I5)&gt;0</formula>
    </cfRule>
    <cfRule type="expression" priority="10" dxfId="4" stopIfTrue="1">
      <formula>WEEKDAY(I5,2)&gt;5</formula>
    </cfRule>
  </conditionalFormatting>
  <conditionalFormatting sqref="Q5:W10">
    <cfRule type="expression" priority="11" dxfId="0" stopIfTrue="1">
      <formula>MONTH(Q5)&lt;&gt;3</formula>
    </cfRule>
    <cfRule type="expression" priority="12" dxfId="1" stopIfTrue="1">
      <formula>Q5=TODAY()</formula>
    </cfRule>
    <cfRule type="expression" priority="13" dxfId="2" stopIfTrue="1">
      <formula>COUNTIF(SwietaUstawowe,Q5)&gt;0</formula>
    </cfRule>
    <cfRule type="expression" priority="14" dxfId="3" stopIfTrue="1">
      <formula>COUNTIF(DniDodatkowe,Q5)&gt;0</formula>
    </cfRule>
    <cfRule type="expression" priority="15" dxfId="4" stopIfTrue="1">
      <formula>WEEKDAY(Q5,2)&gt;5</formula>
    </cfRule>
  </conditionalFormatting>
  <conditionalFormatting sqref="A15:G20">
    <cfRule type="expression" priority="16" dxfId="0" stopIfTrue="1">
      <formula>MONTH(A15)&lt;&gt;4</formula>
    </cfRule>
    <cfRule type="expression" priority="17" dxfId="1" stopIfTrue="1">
      <formula>A15=TODAY()</formula>
    </cfRule>
    <cfRule type="expression" priority="18" dxfId="2" stopIfTrue="1">
      <formula>COUNTIF(SwietaUstawowe,A15)&gt;0</formula>
    </cfRule>
    <cfRule type="expression" priority="19" dxfId="3" stopIfTrue="1">
      <formula>COUNTIF(DniDodatkowe,A15)&gt;0</formula>
    </cfRule>
    <cfRule type="expression" priority="20" dxfId="4" stopIfTrue="1">
      <formula>WEEKDAY(A15,2)&gt;5</formula>
    </cfRule>
  </conditionalFormatting>
  <conditionalFormatting sqref="I15:O20">
    <cfRule type="expression" priority="21" dxfId="0" stopIfTrue="1">
      <formula>MONTH(I15)&lt;&gt;5</formula>
    </cfRule>
    <cfRule type="expression" priority="22" dxfId="1" stopIfTrue="1">
      <formula>I15=TODAY()</formula>
    </cfRule>
    <cfRule type="expression" priority="23" dxfId="2" stopIfTrue="1">
      <formula>COUNTIF(SwietaUstawowe,I15)&gt;0</formula>
    </cfRule>
    <cfRule type="expression" priority="24" dxfId="3" stopIfTrue="1">
      <formula>COUNTIF(DniDodatkowe,I15)&gt;0</formula>
    </cfRule>
    <cfRule type="expression" priority="25" dxfId="4" stopIfTrue="1">
      <formula>WEEKDAY(I15,2)&gt;5</formula>
    </cfRule>
  </conditionalFormatting>
  <conditionalFormatting sqref="Q15:W20">
    <cfRule type="expression" priority="26" dxfId="0" stopIfTrue="1">
      <formula>MONTH(Q15)&lt;&gt;6</formula>
    </cfRule>
    <cfRule type="expression" priority="27" dxfId="1" stopIfTrue="1">
      <formula>Q15=TODAY()</formula>
    </cfRule>
    <cfRule type="expression" priority="28" dxfId="2" stopIfTrue="1">
      <formula>COUNTIF(SwietaUstawowe,Q15)&gt;0</formula>
    </cfRule>
    <cfRule type="expression" priority="29" dxfId="3" stopIfTrue="1">
      <formula>COUNTIF(DniDodatkowe,Q15)&gt;0</formula>
    </cfRule>
    <cfRule type="expression" priority="30" dxfId="4" stopIfTrue="1">
      <formula>WEEKDAY(Q15,2)&gt;5</formula>
    </cfRule>
  </conditionalFormatting>
  <conditionalFormatting sqref="A25:G30">
    <cfRule type="expression" priority="31" dxfId="0" stopIfTrue="1">
      <formula>MONTH(A25)&lt;&gt;7</formula>
    </cfRule>
    <cfRule type="expression" priority="32" dxfId="1" stopIfTrue="1">
      <formula>A25=TODAY()</formula>
    </cfRule>
    <cfRule type="expression" priority="33" dxfId="2" stopIfTrue="1">
      <formula>COUNTIF(SwietaUstawowe,A25)&gt;0</formula>
    </cfRule>
    <cfRule type="expression" priority="34" dxfId="3" stopIfTrue="1">
      <formula>COUNTIF(DniDodatkowe,A25)&gt;0</formula>
    </cfRule>
    <cfRule type="expression" priority="35" dxfId="4" stopIfTrue="1">
      <formula>WEEKDAY(A25,2)&gt;5</formula>
    </cfRule>
  </conditionalFormatting>
  <conditionalFormatting sqref="I25:O30">
    <cfRule type="expression" priority="36" dxfId="0" stopIfTrue="1">
      <formula>MONTH(I25)&lt;&gt;8</formula>
    </cfRule>
    <cfRule type="expression" priority="37" dxfId="1" stopIfTrue="1">
      <formula>I25=TODAY()</formula>
    </cfRule>
    <cfRule type="expression" priority="38" dxfId="2" stopIfTrue="1">
      <formula>COUNTIF(SwietaUstawowe,I25)&gt;0</formula>
    </cfRule>
    <cfRule type="expression" priority="39" dxfId="3" stopIfTrue="1">
      <formula>COUNTIF(DniDodatkowe,I25)&gt;0</formula>
    </cfRule>
    <cfRule type="expression" priority="40" dxfId="4" stopIfTrue="1">
      <formula>WEEKDAY(I25,2)&gt;5</formula>
    </cfRule>
  </conditionalFormatting>
  <conditionalFormatting sqref="Q25:W30">
    <cfRule type="expression" priority="41" dxfId="0" stopIfTrue="1">
      <formula>MONTH(Q25)&lt;&gt;9</formula>
    </cfRule>
    <cfRule type="expression" priority="42" dxfId="1" stopIfTrue="1">
      <formula>Q25=TODAY()</formula>
    </cfRule>
    <cfRule type="expression" priority="43" dxfId="2" stopIfTrue="1">
      <formula>COUNTIF(SwietaUstawowe,Q25)&gt;0</formula>
    </cfRule>
    <cfRule type="expression" priority="44" dxfId="3" stopIfTrue="1">
      <formula>COUNTIF(DniDodatkowe,Q25)&gt;0</formula>
    </cfRule>
    <cfRule type="expression" priority="45" dxfId="4" stopIfTrue="1">
      <formula>WEEKDAY(Q25,2)&gt;5</formula>
    </cfRule>
  </conditionalFormatting>
  <conditionalFormatting sqref="A35:G40">
    <cfRule type="expression" priority="46" dxfId="0" stopIfTrue="1">
      <formula>MONTH(A35)&lt;&gt;10</formula>
    </cfRule>
    <cfRule type="expression" priority="47" dxfId="1" stopIfTrue="1">
      <formula>A35=TODAY()</formula>
    </cfRule>
    <cfRule type="expression" priority="48" dxfId="2" stopIfTrue="1">
      <formula>COUNTIF(SwietaUstawowe,A35)&gt;0</formula>
    </cfRule>
    <cfRule type="expression" priority="49" dxfId="3" stopIfTrue="1">
      <formula>COUNTIF(DniDodatkowe,A35)&gt;0</formula>
    </cfRule>
    <cfRule type="expression" priority="50" dxfId="4" stopIfTrue="1">
      <formula>WEEKDAY(A35,2)&gt;5</formula>
    </cfRule>
  </conditionalFormatting>
  <conditionalFormatting sqref="I35:O40">
    <cfRule type="expression" priority="51" dxfId="0" stopIfTrue="1">
      <formula>MONTH(I35)&lt;&gt;11</formula>
    </cfRule>
    <cfRule type="expression" priority="52" dxfId="1" stopIfTrue="1">
      <formula>I35=TODAY()</formula>
    </cfRule>
    <cfRule type="expression" priority="53" dxfId="2" stopIfTrue="1">
      <formula>COUNTIF(SwietaUstawowe,I35)&gt;0</formula>
    </cfRule>
    <cfRule type="expression" priority="54" dxfId="3" stopIfTrue="1">
      <formula>COUNTIF(DniDodatkowe,I35)&gt;0</formula>
    </cfRule>
    <cfRule type="expression" priority="55" dxfId="4" stopIfTrue="1">
      <formula>WEEKDAY(I35,2)&gt;5</formula>
    </cfRule>
  </conditionalFormatting>
  <conditionalFormatting sqref="Q35:W40">
    <cfRule type="expression" priority="56" dxfId="0" stopIfTrue="1">
      <formula>MONTH(Q35)&lt;&gt;12</formula>
    </cfRule>
    <cfRule type="expression" priority="57" dxfId="1" stopIfTrue="1">
      <formula>Q35=TODAY()</formula>
    </cfRule>
    <cfRule type="expression" priority="58" dxfId="2" stopIfTrue="1">
      <formula>COUNTIF(SwietaUstawowe,Q35)&gt;0</formula>
    </cfRule>
    <cfRule type="expression" priority="59" dxfId="3" stopIfTrue="1">
      <formula>COUNTIF(DniDodatkowe,Q35)&gt;0</formula>
    </cfRule>
    <cfRule type="expression" priority="60" dxfId="4" stopIfTrue="1">
      <formula>WEEKDAY(Q35,2)&gt;5</formula>
    </cfRule>
  </conditionalFormatting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6" customWidth="1" min="3" max="3"/>
    <col width="52" customWidth="1" min="4" max="4"/>
  </cols>
  <sheetData>
    <row r="1">
      <c r="A1" s="1" t="inlineStr">
        <is>
          <t>Ustawienia</t>
        </is>
      </c>
    </row>
    <row r="3">
      <c r="A3" s="4" t="inlineStr">
        <is>
          <t>Rok</t>
        </is>
      </c>
      <c r="B3" s="14" t="n">
        <v>2027</v>
      </c>
      <c r="C3" s="15" t="inlineStr">
        <is>
          <t>&lt;- zmień rok, a wszystkie daty przeliczą się same</t>
        </is>
      </c>
    </row>
    <row r="4">
      <c r="A4" s="4" t="inlineStr">
        <is>
          <t>Wymiar etatu (1 = pełny etat)</t>
        </is>
      </c>
      <c r="B4" s="14" t="n">
        <v>1</v>
      </c>
    </row>
    <row r="5">
      <c r="A5" s="4" t="inlineStr">
        <is>
          <t>Maks. liczba nieobecnych jednego dnia</t>
        </is>
      </c>
      <c r="B5" s="14" t="n">
        <v>2</v>
      </c>
    </row>
    <row r="8">
      <c r="A8" s="16" t="inlineStr">
        <is>
          <t>Święto</t>
        </is>
      </c>
      <c r="B8" s="16" t="inlineStr">
        <is>
          <t>Data</t>
        </is>
      </c>
      <c r="C8" s="16" t="inlineStr">
        <is>
          <t>Dzień tygodnia</t>
        </is>
      </c>
      <c r="D8" s="16" t="inlineStr">
        <is>
          <t>Obniża wymiar czasu pracy?</t>
        </is>
      </c>
    </row>
    <row r="9">
      <c r="A9" s="17" t="inlineStr">
        <is>
          <t>Nowy Rok</t>
        </is>
      </c>
      <c r="B9" s="18">
        <f>DATE(Rok,1,1)</f>
        <v/>
      </c>
      <c r="C9" s="19">
        <f>B9</f>
        <v/>
      </c>
      <c r="D9" s="17">
        <f>IF(WEEKDAY(B9,2)=7,"nie - niedziela",IF(WEEKDAY(B9,2)=6,"tak - święto w sobotę, przysługuje inny dzień wolny","tak"))</f>
        <v/>
      </c>
    </row>
    <row r="10">
      <c r="A10" s="17" t="inlineStr">
        <is>
          <t>Święto Trzech Króli</t>
        </is>
      </c>
      <c r="B10" s="18">
        <f>DATE(Rok,1,6)</f>
        <v/>
      </c>
      <c r="C10" s="19">
        <f>B10</f>
        <v/>
      </c>
      <c r="D10" s="17">
        <f>IF(WEEKDAY(B10,2)=7,"nie - niedziela",IF(WEEKDAY(B10,2)=6,"tak - święto w sobotę, przysługuje inny dzień wolny","tak"))</f>
        <v/>
      </c>
    </row>
    <row r="11">
      <c r="A11" s="17" t="inlineStr">
        <is>
          <t>Wielkanoc</t>
        </is>
      </c>
      <c r="B11" s="18">
        <f>FLOOR(DATE(Rok,5,DAY(MINUTE(Rok/38)/2+56)),7)-34</f>
        <v/>
      </c>
      <c r="C11" s="19">
        <f>B11</f>
        <v/>
      </c>
      <c r="D11" s="17">
        <f>IF(WEEKDAY(B11,2)=7,"nie - niedziela",IF(WEEKDAY(B11,2)=6,"tak - święto w sobotę, przysługuje inny dzień wolny","tak"))</f>
        <v/>
      </c>
    </row>
    <row r="12">
      <c r="A12" s="17" t="inlineStr">
        <is>
          <t>Poniedziałek Wielkanocny</t>
        </is>
      </c>
      <c r="B12" s="18">
        <f>$B$11+1</f>
        <v/>
      </c>
      <c r="C12" s="19">
        <f>B12</f>
        <v/>
      </c>
      <c r="D12" s="17">
        <f>IF(WEEKDAY(B12,2)=7,"nie - niedziela",IF(WEEKDAY(B12,2)=6,"tak - święto w sobotę, przysługuje inny dzień wolny","tak"))</f>
        <v/>
      </c>
    </row>
    <row r="13">
      <c r="A13" s="17" t="inlineStr">
        <is>
          <t>Święto Pracy</t>
        </is>
      </c>
      <c r="B13" s="18">
        <f>DATE(Rok,5,1)</f>
        <v/>
      </c>
      <c r="C13" s="19">
        <f>B13</f>
        <v/>
      </c>
      <c r="D13" s="17">
        <f>IF(WEEKDAY(B13,2)=7,"nie - niedziela",IF(WEEKDAY(B13,2)=6,"tak - święto w sobotę, przysługuje inny dzień wolny","tak"))</f>
        <v/>
      </c>
    </row>
    <row r="14">
      <c r="A14" s="17" t="inlineStr">
        <is>
          <t>Święto Konstytucji 3 Maja</t>
        </is>
      </c>
      <c r="B14" s="18">
        <f>DATE(Rok,5,3)</f>
        <v/>
      </c>
      <c r="C14" s="19">
        <f>B14</f>
        <v/>
      </c>
      <c r="D14" s="17">
        <f>IF(WEEKDAY(B14,2)=7,"nie - niedziela",IF(WEEKDAY(B14,2)=6,"tak - święto w sobotę, przysługuje inny dzień wolny","tak"))</f>
        <v/>
      </c>
    </row>
    <row r="15">
      <c r="A15" s="17" t="inlineStr">
        <is>
          <t>Zielone Świątki</t>
        </is>
      </c>
      <c r="B15" s="18">
        <f>$B$11+49</f>
        <v/>
      </c>
      <c r="C15" s="19">
        <f>B15</f>
        <v/>
      </c>
      <c r="D15" s="17">
        <f>IF(WEEKDAY(B15,2)=7,"nie - niedziela",IF(WEEKDAY(B15,2)=6,"tak - święto w sobotę, przysługuje inny dzień wolny","tak"))</f>
        <v/>
      </c>
    </row>
    <row r="16">
      <c r="A16" s="17" t="inlineStr">
        <is>
          <t>Boże Ciało</t>
        </is>
      </c>
      <c r="B16" s="18">
        <f>$B$11+60</f>
        <v/>
      </c>
      <c r="C16" s="19">
        <f>B16</f>
        <v/>
      </c>
      <c r="D16" s="17">
        <f>IF(WEEKDAY(B16,2)=7,"nie - niedziela",IF(WEEKDAY(B16,2)=6,"tak - święto w sobotę, przysługuje inny dzień wolny","tak"))</f>
        <v/>
      </c>
    </row>
    <row r="17">
      <c r="A17" s="17" t="inlineStr">
        <is>
          <t>Wniebowzięcie NMP</t>
        </is>
      </c>
      <c r="B17" s="18">
        <f>DATE(Rok,8,15)</f>
        <v/>
      </c>
      <c r="C17" s="19">
        <f>B17</f>
        <v/>
      </c>
      <c r="D17" s="17">
        <f>IF(WEEKDAY(B17,2)=7,"nie - niedziela",IF(WEEKDAY(B17,2)=6,"tak - święto w sobotę, przysługuje inny dzień wolny","tak"))</f>
        <v/>
      </c>
    </row>
    <row r="18">
      <c r="A18" s="17" t="inlineStr">
        <is>
          <t>Wszystkich Świętych</t>
        </is>
      </c>
      <c r="B18" s="18">
        <f>DATE(Rok,11,1)</f>
        <v/>
      </c>
      <c r="C18" s="19">
        <f>B18</f>
        <v/>
      </c>
      <c r="D18" s="17">
        <f>IF(WEEKDAY(B18,2)=7,"nie - niedziela",IF(WEEKDAY(B18,2)=6,"tak - święto w sobotę, przysługuje inny dzień wolny","tak"))</f>
        <v/>
      </c>
    </row>
    <row r="19">
      <c r="A19" s="17" t="inlineStr">
        <is>
          <t>Narodowe Święto Niepodległości</t>
        </is>
      </c>
      <c r="B19" s="18">
        <f>DATE(Rok,11,11)</f>
        <v/>
      </c>
      <c r="C19" s="19">
        <f>B19</f>
        <v/>
      </c>
      <c r="D19" s="17">
        <f>IF(WEEKDAY(B19,2)=7,"nie - niedziela",IF(WEEKDAY(B19,2)=6,"tak - święto w sobotę, przysługuje inny dzień wolny","tak"))</f>
        <v/>
      </c>
    </row>
    <row r="20">
      <c r="A20" s="17" t="inlineStr">
        <is>
          <t>Wigilia Bożego Narodzenia</t>
        </is>
      </c>
      <c r="B20" s="18">
        <f>DATE(Rok,12,24)</f>
        <v/>
      </c>
      <c r="C20" s="19">
        <f>B20</f>
        <v/>
      </c>
      <c r="D20" s="17">
        <f>IF(WEEKDAY(B20,2)=7,"nie - niedziela",IF(WEEKDAY(B20,2)=6,"tak - święto w sobotę, przysługuje inny dzień wolny","tak"))</f>
        <v/>
      </c>
    </row>
    <row r="21">
      <c r="A21" s="17" t="inlineStr">
        <is>
          <t>Boże Narodzenie (pierwszy dzień)</t>
        </is>
      </c>
      <c r="B21" s="18">
        <f>DATE(Rok,12,25)</f>
        <v/>
      </c>
      <c r="C21" s="19">
        <f>B21</f>
        <v/>
      </c>
      <c r="D21" s="17">
        <f>IF(WEEKDAY(B21,2)=7,"nie - niedziela",IF(WEEKDAY(B21,2)=6,"tak - święto w sobotę, przysługuje inny dzień wolny","tak"))</f>
        <v/>
      </c>
    </row>
    <row r="22">
      <c r="A22" s="17" t="inlineStr">
        <is>
          <t>Boże Narodzenie (drugi dzień)</t>
        </is>
      </c>
      <c r="B22" s="18">
        <f>DATE(Rok,12,26)</f>
        <v/>
      </c>
      <c r="C22" s="19">
        <f>B22</f>
        <v/>
      </c>
      <c r="D22" s="17">
        <f>IF(WEEKDAY(B22,2)=7,"nie - niedziela",IF(WEEKDAY(B22,2)=6,"tak - święto w sobotę, przysługuje inny dzień wolny","tak"))</f>
        <v/>
      </c>
    </row>
    <row r="25">
      <c r="A25" s="2" t="inlineStr">
        <is>
          <t>Dodatkowe dni wolne (np. wyznaczone przez pracodawcę za święto w sobotę)</t>
        </is>
      </c>
    </row>
    <row r="26">
      <c r="A26" s="20" t="inlineStr">
        <is>
          <t>Opis</t>
        </is>
      </c>
      <c r="B26" s="20" t="inlineStr">
        <is>
          <t>Data</t>
        </is>
      </c>
    </row>
    <row r="27">
      <c r="A27" s="21" t="n"/>
      <c r="B27" s="22" t="n"/>
      <c r="C27" s="15" t="inlineStr">
        <is>
          <t>&lt;- wpisz daty wyznaczonych dni wolnych</t>
        </is>
      </c>
    </row>
    <row r="28">
      <c r="A28" s="21" t="n"/>
      <c r="B28" s="22" t="n"/>
    </row>
    <row r="29">
      <c r="A29" s="21" t="n"/>
      <c r="B29" s="22" t="n"/>
    </row>
    <row r="30">
      <c r="A30" s="21" t="n"/>
      <c r="B30" s="22" t="n"/>
    </row>
    <row r="31">
      <c r="A31" s="21" t="n"/>
      <c r="B31" s="22" t="n"/>
    </row>
    <row r="32">
      <c r="A32" s="21" t="n"/>
      <c r="B32" s="22" t="n"/>
    </row>
    <row r="33">
      <c r="A33" s="21" t="n"/>
      <c r="B33" s="22" t="n"/>
    </row>
    <row r="34">
      <c r="A34" s="21" t="n"/>
      <c r="B34" s="22" t="n"/>
    </row>
    <row r="35">
      <c r="A35" s="21" t="n"/>
      <c r="B35" s="22" t="n"/>
    </row>
    <row r="36">
      <c r="A36" s="21" t="n"/>
      <c r="B36" s="22" t="n"/>
    </row>
  </sheetData>
  <dataValidations count="1">
    <dataValidation sqref="B27:B36" showDropDown="0" showInputMessage="0" showErrorMessage="0" allowBlank="1" errorTitle="Data" error="Wpisz datę, np. 31.12.2027" type="date" operator="greaterThan">
      <formula1>1</formula1>
    </dataValidation>
  </dataValidations>
  <pageMargins left="0.75" right="0.75" top="1" bottom="1" header="0.5" footer="0.5"/>
  <pageSetup orientation="landscape" fitToHeight="1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1" customWidth="1" min="5" max="5"/>
    <col width="11" customWidth="1" min="6" max="6"/>
    <col width="10" customWidth="1" min="7" max="7"/>
    <col width="13" customWidth="1" min="8" max="8"/>
    <col width="12" customWidth="1" min="9" max="9"/>
  </cols>
  <sheetData>
    <row r="1">
      <c r="A1" s="1">
        <f>"Wymiar czasu pracy w "&amp;Rok&amp;" r."</f>
        <v/>
      </c>
    </row>
    <row r="2">
      <c r="A2" s="15" t="inlineStr">
        <is>
          <t>Pełny etat: 8 godzin dziennie, przeciętnie 5 dni w tygodniu. Każde święto przypadające w innym dniu niż niedziela obniża wymiar o 8 godzin (art. 130 § 2 Kodeksu pracy).</t>
        </is>
      </c>
    </row>
    <row r="4" ht="32" customHeight="1">
      <c r="A4" s="23" t="inlineStr">
        <is>
          <t>Miesiąc</t>
        </is>
      </c>
      <c r="B4" s="23" t="inlineStr">
        <is>
          <t>Od</t>
        </is>
      </c>
      <c r="C4" s="23" t="inlineStr">
        <is>
          <t>Do</t>
        </is>
      </c>
      <c r="D4" s="23" t="inlineStr">
        <is>
          <t>Dni pn-pt</t>
        </is>
      </c>
      <c r="E4" s="23" t="inlineStr">
        <is>
          <t>Święta pn-pt</t>
        </is>
      </c>
      <c r="F4" s="23" t="inlineStr">
        <is>
          <t>Święta w sobotę</t>
        </is>
      </c>
      <c r="G4" s="23" t="inlineStr">
        <is>
          <t>Dni pracy</t>
        </is>
      </c>
      <c r="H4" s="23" t="inlineStr">
        <is>
          <t>Godziny (pełny etat)</t>
        </is>
      </c>
      <c r="I4" s="23" t="inlineStr">
        <is>
          <t>Godziny wg etatu</t>
        </is>
      </c>
    </row>
    <row r="5">
      <c r="A5" s="24" t="inlineStr">
        <is>
          <t>Styczeń</t>
        </is>
      </c>
      <c r="B5" s="18">
        <f>DATE(Rok,1,1)</f>
        <v/>
      </c>
      <c r="C5" s="18">
        <f>EOMONTH(B5,0)</f>
        <v/>
      </c>
      <c r="D5" s="25">
        <f>NETWORKDAYS.INTL(B5,C5,1)</f>
        <v/>
      </c>
      <c r="E5" s="25">
        <f>D5-NETWORKDAYS.INTL(B5,C5,1,SwietaUstawowe)</f>
        <v/>
      </c>
      <c r="F5" s="25">
        <f>SUMPRODUCT((SwietaUstawowe&gt;=B5)*(SwietaUstawowe&lt;=C5)*(WEEKDAY(SwietaUstawowe,2)=6))</f>
        <v/>
      </c>
      <c r="G5" s="25">
        <f>D5-E5-F5</f>
        <v/>
      </c>
      <c r="H5" s="25">
        <f>G5*8</f>
        <v/>
      </c>
      <c r="I5" s="26">
        <f>H5*Etat</f>
        <v/>
      </c>
    </row>
    <row r="6">
      <c r="A6" s="24" t="inlineStr">
        <is>
          <t>Luty</t>
        </is>
      </c>
      <c r="B6" s="18">
        <f>DATE(Rok,2,1)</f>
        <v/>
      </c>
      <c r="C6" s="18">
        <f>EOMONTH(B6,0)</f>
        <v/>
      </c>
      <c r="D6" s="25">
        <f>NETWORKDAYS.INTL(B6,C6,1)</f>
        <v/>
      </c>
      <c r="E6" s="25">
        <f>D6-NETWORKDAYS.INTL(B6,C6,1,SwietaUstawowe)</f>
        <v/>
      </c>
      <c r="F6" s="25">
        <f>SUMPRODUCT((SwietaUstawowe&gt;=B6)*(SwietaUstawowe&lt;=C6)*(WEEKDAY(SwietaUstawowe,2)=6))</f>
        <v/>
      </c>
      <c r="G6" s="25">
        <f>D6-E6-F6</f>
        <v/>
      </c>
      <c r="H6" s="25">
        <f>G6*8</f>
        <v/>
      </c>
      <c r="I6" s="26">
        <f>H6*Etat</f>
        <v/>
      </c>
    </row>
    <row r="7">
      <c r="A7" s="24" t="inlineStr">
        <is>
          <t>Marzec</t>
        </is>
      </c>
      <c r="B7" s="18">
        <f>DATE(Rok,3,1)</f>
        <v/>
      </c>
      <c r="C7" s="18">
        <f>EOMONTH(B7,0)</f>
        <v/>
      </c>
      <c r="D7" s="25">
        <f>NETWORKDAYS.INTL(B7,C7,1)</f>
        <v/>
      </c>
      <c r="E7" s="25">
        <f>D7-NETWORKDAYS.INTL(B7,C7,1,SwietaUstawowe)</f>
        <v/>
      </c>
      <c r="F7" s="25">
        <f>SUMPRODUCT((SwietaUstawowe&gt;=B7)*(SwietaUstawowe&lt;=C7)*(WEEKDAY(SwietaUstawowe,2)=6))</f>
        <v/>
      </c>
      <c r="G7" s="25">
        <f>D7-E7-F7</f>
        <v/>
      </c>
      <c r="H7" s="25">
        <f>G7*8</f>
        <v/>
      </c>
      <c r="I7" s="26">
        <f>H7*Etat</f>
        <v/>
      </c>
    </row>
    <row r="8">
      <c r="A8" s="24" t="inlineStr">
        <is>
          <t>Kwiecień</t>
        </is>
      </c>
      <c r="B8" s="18">
        <f>DATE(Rok,4,1)</f>
        <v/>
      </c>
      <c r="C8" s="18">
        <f>EOMONTH(B8,0)</f>
        <v/>
      </c>
      <c r="D8" s="25">
        <f>NETWORKDAYS.INTL(B8,C8,1)</f>
        <v/>
      </c>
      <c r="E8" s="25">
        <f>D8-NETWORKDAYS.INTL(B8,C8,1,SwietaUstawowe)</f>
        <v/>
      </c>
      <c r="F8" s="25">
        <f>SUMPRODUCT((SwietaUstawowe&gt;=B8)*(SwietaUstawowe&lt;=C8)*(WEEKDAY(SwietaUstawowe,2)=6))</f>
        <v/>
      </c>
      <c r="G8" s="25">
        <f>D8-E8-F8</f>
        <v/>
      </c>
      <c r="H8" s="25">
        <f>G8*8</f>
        <v/>
      </c>
      <c r="I8" s="26">
        <f>H8*Etat</f>
        <v/>
      </c>
    </row>
    <row r="9">
      <c r="A9" s="24" t="inlineStr">
        <is>
          <t>Maj</t>
        </is>
      </c>
      <c r="B9" s="18">
        <f>DATE(Rok,5,1)</f>
        <v/>
      </c>
      <c r="C9" s="18">
        <f>EOMONTH(B9,0)</f>
        <v/>
      </c>
      <c r="D9" s="25">
        <f>NETWORKDAYS.INTL(B9,C9,1)</f>
        <v/>
      </c>
      <c r="E9" s="25">
        <f>D9-NETWORKDAYS.INTL(B9,C9,1,SwietaUstawowe)</f>
        <v/>
      </c>
      <c r="F9" s="25">
        <f>SUMPRODUCT((SwietaUstawowe&gt;=B9)*(SwietaUstawowe&lt;=C9)*(WEEKDAY(SwietaUstawowe,2)=6))</f>
        <v/>
      </c>
      <c r="G9" s="25">
        <f>D9-E9-F9</f>
        <v/>
      </c>
      <c r="H9" s="25">
        <f>G9*8</f>
        <v/>
      </c>
      <c r="I9" s="26">
        <f>H9*Etat</f>
        <v/>
      </c>
    </row>
    <row r="10">
      <c r="A10" s="24" t="inlineStr">
        <is>
          <t>Czerwiec</t>
        </is>
      </c>
      <c r="B10" s="18">
        <f>DATE(Rok,6,1)</f>
        <v/>
      </c>
      <c r="C10" s="18">
        <f>EOMONTH(B10,0)</f>
        <v/>
      </c>
      <c r="D10" s="25">
        <f>NETWORKDAYS.INTL(B10,C10,1)</f>
        <v/>
      </c>
      <c r="E10" s="25">
        <f>D10-NETWORKDAYS.INTL(B10,C10,1,SwietaUstawowe)</f>
        <v/>
      </c>
      <c r="F10" s="25">
        <f>SUMPRODUCT((SwietaUstawowe&gt;=B10)*(SwietaUstawowe&lt;=C10)*(WEEKDAY(SwietaUstawowe,2)=6))</f>
        <v/>
      </c>
      <c r="G10" s="25">
        <f>D10-E10-F10</f>
        <v/>
      </c>
      <c r="H10" s="25">
        <f>G10*8</f>
        <v/>
      </c>
      <c r="I10" s="26">
        <f>H10*Etat</f>
        <v/>
      </c>
    </row>
    <row r="11">
      <c r="A11" s="24" t="inlineStr">
        <is>
          <t>Lipiec</t>
        </is>
      </c>
      <c r="B11" s="18">
        <f>DATE(Rok,7,1)</f>
        <v/>
      </c>
      <c r="C11" s="18">
        <f>EOMONTH(B11,0)</f>
        <v/>
      </c>
      <c r="D11" s="25">
        <f>NETWORKDAYS.INTL(B11,C11,1)</f>
        <v/>
      </c>
      <c r="E11" s="25">
        <f>D11-NETWORKDAYS.INTL(B11,C11,1,SwietaUstawowe)</f>
        <v/>
      </c>
      <c r="F11" s="25">
        <f>SUMPRODUCT((SwietaUstawowe&gt;=B11)*(SwietaUstawowe&lt;=C11)*(WEEKDAY(SwietaUstawowe,2)=6))</f>
        <v/>
      </c>
      <c r="G11" s="25">
        <f>D11-E11-F11</f>
        <v/>
      </c>
      <c r="H11" s="25">
        <f>G11*8</f>
        <v/>
      </c>
      <c r="I11" s="26">
        <f>H11*Etat</f>
        <v/>
      </c>
    </row>
    <row r="12">
      <c r="A12" s="24" t="inlineStr">
        <is>
          <t>Sierpień</t>
        </is>
      </c>
      <c r="B12" s="18">
        <f>DATE(Rok,8,1)</f>
        <v/>
      </c>
      <c r="C12" s="18">
        <f>EOMONTH(B12,0)</f>
        <v/>
      </c>
      <c r="D12" s="25">
        <f>NETWORKDAYS.INTL(B12,C12,1)</f>
        <v/>
      </c>
      <c r="E12" s="25">
        <f>D12-NETWORKDAYS.INTL(B12,C12,1,SwietaUstawowe)</f>
        <v/>
      </c>
      <c r="F12" s="25">
        <f>SUMPRODUCT((SwietaUstawowe&gt;=B12)*(SwietaUstawowe&lt;=C12)*(WEEKDAY(SwietaUstawowe,2)=6))</f>
        <v/>
      </c>
      <c r="G12" s="25">
        <f>D12-E12-F12</f>
        <v/>
      </c>
      <c r="H12" s="25">
        <f>G12*8</f>
        <v/>
      </c>
      <c r="I12" s="26">
        <f>H12*Etat</f>
        <v/>
      </c>
    </row>
    <row r="13">
      <c r="A13" s="24" t="inlineStr">
        <is>
          <t>Wrzesień</t>
        </is>
      </c>
      <c r="B13" s="18">
        <f>DATE(Rok,9,1)</f>
        <v/>
      </c>
      <c r="C13" s="18">
        <f>EOMONTH(B13,0)</f>
        <v/>
      </c>
      <c r="D13" s="25">
        <f>NETWORKDAYS.INTL(B13,C13,1)</f>
        <v/>
      </c>
      <c r="E13" s="25">
        <f>D13-NETWORKDAYS.INTL(B13,C13,1,SwietaUstawowe)</f>
        <v/>
      </c>
      <c r="F13" s="25">
        <f>SUMPRODUCT((SwietaUstawowe&gt;=B13)*(SwietaUstawowe&lt;=C13)*(WEEKDAY(SwietaUstawowe,2)=6))</f>
        <v/>
      </c>
      <c r="G13" s="25">
        <f>D13-E13-F13</f>
        <v/>
      </c>
      <c r="H13" s="25">
        <f>G13*8</f>
        <v/>
      </c>
      <c r="I13" s="26">
        <f>H13*Etat</f>
        <v/>
      </c>
    </row>
    <row r="14">
      <c r="A14" s="24" t="inlineStr">
        <is>
          <t>Październik</t>
        </is>
      </c>
      <c r="B14" s="18">
        <f>DATE(Rok,10,1)</f>
        <v/>
      </c>
      <c r="C14" s="18">
        <f>EOMONTH(B14,0)</f>
        <v/>
      </c>
      <c r="D14" s="25">
        <f>NETWORKDAYS.INTL(B14,C14,1)</f>
        <v/>
      </c>
      <c r="E14" s="25">
        <f>D14-NETWORKDAYS.INTL(B14,C14,1,SwietaUstawowe)</f>
        <v/>
      </c>
      <c r="F14" s="25">
        <f>SUMPRODUCT((SwietaUstawowe&gt;=B14)*(SwietaUstawowe&lt;=C14)*(WEEKDAY(SwietaUstawowe,2)=6))</f>
        <v/>
      </c>
      <c r="G14" s="25">
        <f>D14-E14-F14</f>
        <v/>
      </c>
      <c r="H14" s="25">
        <f>G14*8</f>
        <v/>
      </c>
      <c r="I14" s="26">
        <f>H14*Etat</f>
        <v/>
      </c>
    </row>
    <row r="15">
      <c r="A15" s="24" t="inlineStr">
        <is>
          <t>Listopad</t>
        </is>
      </c>
      <c r="B15" s="18">
        <f>DATE(Rok,11,1)</f>
        <v/>
      </c>
      <c r="C15" s="18">
        <f>EOMONTH(B15,0)</f>
        <v/>
      </c>
      <c r="D15" s="25">
        <f>NETWORKDAYS.INTL(B15,C15,1)</f>
        <v/>
      </c>
      <c r="E15" s="25">
        <f>D15-NETWORKDAYS.INTL(B15,C15,1,SwietaUstawowe)</f>
        <v/>
      </c>
      <c r="F15" s="25">
        <f>SUMPRODUCT((SwietaUstawowe&gt;=B15)*(SwietaUstawowe&lt;=C15)*(WEEKDAY(SwietaUstawowe,2)=6))</f>
        <v/>
      </c>
      <c r="G15" s="25">
        <f>D15-E15-F15</f>
        <v/>
      </c>
      <c r="H15" s="25">
        <f>G15*8</f>
        <v/>
      </c>
      <c r="I15" s="26">
        <f>H15*Etat</f>
        <v/>
      </c>
    </row>
    <row r="16">
      <c r="A16" s="24" t="inlineStr">
        <is>
          <t>Grudzień</t>
        </is>
      </c>
      <c r="B16" s="18">
        <f>DATE(Rok,12,1)</f>
        <v/>
      </c>
      <c r="C16" s="18">
        <f>EOMONTH(B16,0)</f>
        <v/>
      </c>
      <c r="D16" s="25">
        <f>NETWORKDAYS.INTL(B16,C16,1)</f>
        <v/>
      </c>
      <c r="E16" s="25">
        <f>D16-NETWORKDAYS.INTL(B16,C16,1,SwietaUstawowe)</f>
        <v/>
      </c>
      <c r="F16" s="25">
        <f>SUMPRODUCT((SwietaUstawowe&gt;=B16)*(SwietaUstawowe&lt;=C16)*(WEEKDAY(SwietaUstawowe,2)=6))</f>
        <v/>
      </c>
      <c r="G16" s="25">
        <f>D16-E16-F16</f>
        <v/>
      </c>
      <c r="H16" s="25">
        <f>G16*8</f>
        <v/>
      </c>
      <c r="I16" s="26">
        <f>H16*Etat</f>
        <v/>
      </c>
    </row>
    <row r="17">
      <c r="A17" s="27" t="inlineStr">
        <is>
          <t>Razem</t>
        </is>
      </c>
      <c r="D17" s="28">
        <f>SUM(D5:D16)</f>
        <v/>
      </c>
      <c r="E17" s="28">
        <f>SUM(E5:E16)</f>
        <v/>
      </c>
      <c r="F17" s="28">
        <f>SUM(F5:F16)</f>
        <v/>
      </c>
      <c r="G17" s="28">
        <f>SUM(G5:G16)</f>
        <v/>
      </c>
      <c r="H17" s="28">
        <f>SUM(H5:H16)</f>
        <v/>
      </c>
      <c r="I17" s="29">
        <f>SUM(I5:I16)</f>
        <v/>
      </c>
    </row>
  </sheetData>
  <pageMargins left="0.75" right="0.75" top="1" bottom="1" header="0.5" footer="0.5"/>
  <pageSetup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M2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3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</cols>
  <sheetData>
    <row r="1">
      <c r="A1" s="1" t="inlineStr">
        <is>
          <t>Grafik urlopów i nieobecności</t>
        </is>
      </c>
    </row>
    <row r="2">
      <c r="A2" s="4" t="inlineStr">
        <is>
          <t>Miesiąc (1-12):</t>
        </is>
      </c>
      <c r="C2" s="30" t="n">
        <v>1</v>
      </c>
      <c r="D2" s="31">
        <f>DATE(Rok,$C$2,1)</f>
        <v/>
      </c>
    </row>
    <row r="3">
      <c r="A3" s="32" t="inlineStr">
        <is>
          <t>dzień roboczy (pomocniczy):</t>
        </is>
      </c>
      <c r="C3" s="33">
        <f>IF(C4="",0,IF(OR(WEEKDAY(C4,2)&gt;5,COUNTIF(SwietaUstawowe,C4)&gt;0,COUNTIF(DniDodatkowe,C4)&gt;0),0,1))</f>
        <v/>
      </c>
      <c r="D3" s="33">
        <f>IF(D4="",0,IF(OR(WEEKDAY(D4,2)&gt;5,COUNTIF(SwietaUstawowe,D4)&gt;0,COUNTIF(DniDodatkowe,D4)&gt;0),0,1))</f>
        <v/>
      </c>
      <c r="E3" s="33">
        <f>IF(E4="",0,IF(OR(WEEKDAY(E4,2)&gt;5,COUNTIF(SwietaUstawowe,E4)&gt;0,COUNTIF(DniDodatkowe,E4)&gt;0),0,1))</f>
        <v/>
      </c>
      <c r="F3" s="33">
        <f>IF(F4="",0,IF(OR(WEEKDAY(F4,2)&gt;5,COUNTIF(SwietaUstawowe,F4)&gt;0,COUNTIF(DniDodatkowe,F4)&gt;0),0,1))</f>
        <v/>
      </c>
      <c r="G3" s="33">
        <f>IF(G4="",0,IF(OR(WEEKDAY(G4,2)&gt;5,COUNTIF(SwietaUstawowe,G4)&gt;0,COUNTIF(DniDodatkowe,G4)&gt;0),0,1))</f>
        <v/>
      </c>
      <c r="H3" s="33">
        <f>IF(H4="",0,IF(OR(WEEKDAY(H4,2)&gt;5,COUNTIF(SwietaUstawowe,H4)&gt;0,COUNTIF(DniDodatkowe,H4)&gt;0),0,1))</f>
        <v/>
      </c>
      <c r="I3" s="33">
        <f>IF(I4="",0,IF(OR(WEEKDAY(I4,2)&gt;5,COUNTIF(SwietaUstawowe,I4)&gt;0,COUNTIF(DniDodatkowe,I4)&gt;0),0,1))</f>
        <v/>
      </c>
      <c r="J3" s="33">
        <f>IF(J4="",0,IF(OR(WEEKDAY(J4,2)&gt;5,COUNTIF(SwietaUstawowe,J4)&gt;0,COUNTIF(DniDodatkowe,J4)&gt;0),0,1))</f>
        <v/>
      </c>
      <c r="K3" s="33">
        <f>IF(K4="",0,IF(OR(WEEKDAY(K4,2)&gt;5,COUNTIF(SwietaUstawowe,K4)&gt;0,COUNTIF(DniDodatkowe,K4)&gt;0),0,1))</f>
        <v/>
      </c>
      <c r="L3" s="33">
        <f>IF(L4="",0,IF(OR(WEEKDAY(L4,2)&gt;5,COUNTIF(SwietaUstawowe,L4)&gt;0,COUNTIF(DniDodatkowe,L4)&gt;0),0,1))</f>
        <v/>
      </c>
      <c r="M3" s="33">
        <f>IF(M4="",0,IF(OR(WEEKDAY(M4,2)&gt;5,COUNTIF(SwietaUstawowe,M4)&gt;0,COUNTIF(DniDodatkowe,M4)&gt;0),0,1))</f>
        <v/>
      </c>
      <c r="N3" s="33">
        <f>IF(N4="",0,IF(OR(WEEKDAY(N4,2)&gt;5,COUNTIF(SwietaUstawowe,N4)&gt;0,COUNTIF(DniDodatkowe,N4)&gt;0),0,1))</f>
        <v/>
      </c>
      <c r="O3" s="33">
        <f>IF(O4="",0,IF(OR(WEEKDAY(O4,2)&gt;5,COUNTIF(SwietaUstawowe,O4)&gt;0,COUNTIF(DniDodatkowe,O4)&gt;0),0,1))</f>
        <v/>
      </c>
      <c r="P3" s="33">
        <f>IF(P4="",0,IF(OR(WEEKDAY(P4,2)&gt;5,COUNTIF(SwietaUstawowe,P4)&gt;0,COUNTIF(DniDodatkowe,P4)&gt;0),0,1))</f>
        <v/>
      </c>
      <c r="Q3" s="33">
        <f>IF(Q4="",0,IF(OR(WEEKDAY(Q4,2)&gt;5,COUNTIF(SwietaUstawowe,Q4)&gt;0,COUNTIF(DniDodatkowe,Q4)&gt;0),0,1))</f>
        <v/>
      </c>
      <c r="R3" s="33">
        <f>IF(R4="",0,IF(OR(WEEKDAY(R4,2)&gt;5,COUNTIF(SwietaUstawowe,R4)&gt;0,COUNTIF(DniDodatkowe,R4)&gt;0),0,1))</f>
        <v/>
      </c>
      <c r="S3" s="33">
        <f>IF(S4="",0,IF(OR(WEEKDAY(S4,2)&gt;5,COUNTIF(SwietaUstawowe,S4)&gt;0,COUNTIF(DniDodatkowe,S4)&gt;0),0,1))</f>
        <v/>
      </c>
      <c r="T3" s="33">
        <f>IF(T4="",0,IF(OR(WEEKDAY(T4,2)&gt;5,COUNTIF(SwietaUstawowe,T4)&gt;0,COUNTIF(DniDodatkowe,T4)&gt;0),0,1))</f>
        <v/>
      </c>
      <c r="U3" s="33">
        <f>IF(U4="",0,IF(OR(WEEKDAY(U4,2)&gt;5,COUNTIF(SwietaUstawowe,U4)&gt;0,COUNTIF(DniDodatkowe,U4)&gt;0),0,1))</f>
        <v/>
      </c>
      <c r="V3" s="33">
        <f>IF(V4="",0,IF(OR(WEEKDAY(V4,2)&gt;5,COUNTIF(SwietaUstawowe,V4)&gt;0,COUNTIF(DniDodatkowe,V4)&gt;0),0,1))</f>
        <v/>
      </c>
      <c r="W3" s="33">
        <f>IF(W4="",0,IF(OR(WEEKDAY(W4,2)&gt;5,COUNTIF(SwietaUstawowe,W4)&gt;0,COUNTIF(DniDodatkowe,W4)&gt;0),0,1))</f>
        <v/>
      </c>
      <c r="X3" s="33">
        <f>IF(X4="",0,IF(OR(WEEKDAY(X4,2)&gt;5,COUNTIF(SwietaUstawowe,X4)&gt;0,COUNTIF(DniDodatkowe,X4)&gt;0),0,1))</f>
        <v/>
      </c>
      <c r="Y3" s="33">
        <f>IF(Y4="",0,IF(OR(WEEKDAY(Y4,2)&gt;5,COUNTIF(SwietaUstawowe,Y4)&gt;0,COUNTIF(DniDodatkowe,Y4)&gt;0),0,1))</f>
        <v/>
      </c>
      <c r="Z3" s="33">
        <f>IF(Z4="",0,IF(OR(WEEKDAY(Z4,2)&gt;5,COUNTIF(SwietaUstawowe,Z4)&gt;0,COUNTIF(DniDodatkowe,Z4)&gt;0),0,1))</f>
        <v/>
      </c>
      <c r="AA3" s="33">
        <f>IF(AA4="",0,IF(OR(WEEKDAY(AA4,2)&gt;5,COUNTIF(SwietaUstawowe,AA4)&gt;0,COUNTIF(DniDodatkowe,AA4)&gt;0),0,1))</f>
        <v/>
      </c>
      <c r="AB3" s="33">
        <f>IF(AB4="",0,IF(OR(WEEKDAY(AB4,2)&gt;5,COUNTIF(SwietaUstawowe,AB4)&gt;0,COUNTIF(DniDodatkowe,AB4)&gt;0),0,1))</f>
        <v/>
      </c>
      <c r="AC3" s="33">
        <f>IF(AC4="",0,IF(OR(WEEKDAY(AC4,2)&gt;5,COUNTIF(SwietaUstawowe,AC4)&gt;0,COUNTIF(DniDodatkowe,AC4)&gt;0),0,1))</f>
        <v/>
      </c>
      <c r="AD3" s="33">
        <f>IF(AD4="",0,IF(OR(WEEKDAY(AD4,2)&gt;5,COUNTIF(SwietaUstawowe,AD4)&gt;0,COUNTIF(DniDodatkowe,AD4)&gt;0),0,1))</f>
        <v/>
      </c>
      <c r="AE3" s="33">
        <f>IF(AE4="",0,IF(OR(WEEKDAY(AE4,2)&gt;5,COUNTIF(SwietaUstawowe,AE4)&gt;0,COUNTIF(DniDodatkowe,AE4)&gt;0),0,1))</f>
        <v/>
      </c>
      <c r="AF3" s="33">
        <f>IF(AF4="",0,IF(OR(WEEKDAY(AF4,2)&gt;5,COUNTIF(SwietaUstawowe,AF4)&gt;0,COUNTIF(DniDodatkowe,AF4)&gt;0),0,1))</f>
        <v/>
      </c>
      <c r="AG3" s="33">
        <f>IF(AG4="",0,IF(OR(WEEKDAY(AG4,2)&gt;5,COUNTIF(SwietaUstawowe,AG4)&gt;0,COUNTIF(DniDodatkowe,AG4)&gt;0),0,1))</f>
        <v/>
      </c>
    </row>
    <row r="4" ht="24" customHeight="1">
      <c r="A4" s="34" t="inlineStr">
        <is>
          <t>Pracownik</t>
        </is>
      </c>
      <c r="B4" s="34" t="inlineStr">
        <is>
          <t>Dział</t>
        </is>
      </c>
      <c r="C4" s="35">
        <f>IF(1&lt;=DAY(EOMONTH(DATE(Rok,$C$2,1),0)),DATE(Rok,$C$2,1),"")</f>
        <v/>
      </c>
      <c r="D4" s="35">
        <f>IF(2&lt;=DAY(EOMONTH(DATE(Rok,$C$2,1),0)),DATE(Rok,$C$2,2),"")</f>
        <v/>
      </c>
      <c r="E4" s="35">
        <f>IF(3&lt;=DAY(EOMONTH(DATE(Rok,$C$2,1),0)),DATE(Rok,$C$2,3),"")</f>
        <v/>
      </c>
      <c r="F4" s="35">
        <f>IF(4&lt;=DAY(EOMONTH(DATE(Rok,$C$2,1),0)),DATE(Rok,$C$2,4),"")</f>
        <v/>
      </c>
      <c r="G4" s="35">
        <f>IF(5&lt;=DAY(EOMONTH(DATE(Rok,$C$2,1),0)),DATE(Rok,$C$2,5),"")</f>
        <v/>
      </c>
      <c r="H4" s="35">
        <f>IF(6&lt;=DAY(EOMONTH(DATE(Rok,$C$2,1),0)),DATE(Rok,$C$2,6),"")</f>
        <v/>
      </c>
      <c r="I4" s="35">
        <f>IF(7&lt;=DAY(EOMONTH(DATE(Rok,$C$2,1),0)),DATE(Rok,$C$2,7),"")</f>
        <v/>
      </c>
      <c r="J4" s="35">
        <f>IF(8&lt;=DAY(EOMONTH(DATE(Rok,$C$2,1),0)),DATE(Rok,$C$2,8),"")</f>
        <v/>
      </c>
      <c r="K4" s="35">
        <f>IF(9&lt;=DAY(EOMONTH(DATE(Rok,$C$2,1),0)),DATE(Rok,$C$2,9),"")</f>
        <v/>
      </c>
      <c r="L4" s="35">
        <f>IF(10&lt;=DAY(EOMONTH(DATE(Rok,$C$2,1),0)),DATE(Rok,$C$2,10),"")</f>
        <v/>
      </c>
      <c r="M4" s="35">
        <f>IF(11&lt;=DAY(EOMONTH(DATE(Rok,$C$2,1),0)),DATE(Rok,$C$2,11),"")</f>
        <v/>
      </c>
      <c r="N4" s="35">
        <f>IF(12&lt;=DAY(EOMONTH(DATE(Rok,$C$2,1),0)),DATE(Rok,$C$2,12),"")</f>
        <v/>
      </c>
      <c r="O4" s="35">
        <f>IF(13&lt;=DAY(EOMONTH(DATE(Rok,$C$2,1),0)),DATE(Rok,$C$2,13),"")</f>
        <v/>
      </c>
      <c r="P4" s="35">
        <f>IF(14&lt;=DAY(EOMONTH(DATE(Rok,$C$2,1),0)),DATE(Rok,$C$2,14),"")</f>
        <v/>
      </c>
      <c r="Q4" s="35">
        <f>IF(15&lt;=DAY(EOMONTH(DATE(Rok,$C$2,1),0)),DATE(Rok,$C$2,15),"")</f>
        <v/>
      </c>
      <c r="R4" s="35">
        <f>IF(16&lt;=DAY(EOMONTH(DATE(Rok,$C$2,1),0)),DATE(Rok,$C$2,16),"")</f>
        <v/>
      </c>
      <c r="S4" s="35">
        <f>IF(17&lt;=DAY(EOMONTH(DATE(Rok,$C$2,1),0)),DATE(Rok,$C$2,17),"")</f>
        <v/>
      </c>
      <c r="T4" s="35">
        <f>IF(18&lt;=DAY(EOMONTH(DATE(Rok,$C$2,1),0)),DATE(Rok,$C$2,18),"")</f>
        <v/>
      </c>
      <c r="U4" s="35">
        <f>IF(19&lt;=DAY(EOMONTH(DATE(Rok,$C$2,1),0)),DATE(Rok,$C$2,19),"")</f>
        <v/>
      </c>
      <c r="V4" s="35">
        <f>IF(20&lt;=DAY(EOMONTH(DATE(Rok,$C$2,1),0)),DATE(Rok,$C$2,20),"")</f>
        <v/>
      </c>
      <c r="W4" s="35">
        <f>IF(21&lt;=DAY(EOMONTH(DATE(Rok,$C$2,1),0)),DATE(Rok,$C$2,21),"")</f>
        <v/>
      </c>
      <c r="X4" s="35">
        <f>IF(22&lt;=DAY(EOMONTH(DATE(Rok,$C$2,1),0)),DATE(Rok,$C$2,22),"")</f>
        <v/>
      </c>
      <c r="Y4" s="35">
        <f>IF(23&lt;=DAY(EOMONTH(DATE(Rok,$C$2,1),0)),DATE(Rok,$C$2,23),"")</f>
        <v/>
      </c>
      <c r="Z4" s="35">
        <f>IF(24&lt;=DAY(EOMONTH(DATE(Rok,$C$2,1),0)),DATE(Rok,$C$2,24),"")</f>
        <v/>
      </c>
      <c r="AA4" s="35">
        <f>IF(25&lt;=DAY(EOMONTH(DATE(Rok,$C$2,1),0)),DATE(Rok,$C$2,25),"")</f>
        <v/>
      </c>
      <c r="AB4" s="35">
        <f>IF(26&lt;=DAY(EOMONTH(DATE(Rok,$C$2,1),0)),DATE(Rok,$C$2,26),"")</f>
        <v/>
      </c>
      <c r="AC4" s="35">
        <f>IF(27&lt;=DAY(EOMONTH(DATE(Rok,$C$2,1),0)),DATE(Rok,$C$2,27),"")</f>
        <v/>
      </c>
      <c r="AD4" s="35">
        <f>IF(28&lt;=DAY(EOMONTH(DATE(Rok,$C$2,1),0)),DATE(Rok,$C$2,28),"")</f>
        <v/>
      </c>
      <c r="AE4" s="35">
        <f>IF(29&lt;=DAY(EOMONTH(DATE(Rok,$C$2,1),0)),DATE(Rok,$C$2,29),"")</f>
        <v/>
      </c>
      <c r="AF4" s="35">
        <f>IF(30&lt;=DAY(EOMONTH(DATE(Rok,$C$2,1),0)),DATE(Rok,$C$2,30),"")</f>
        <v/>
      </c>
      <c r="AG4" s="35">
        <f>IF(31&lt;=DAY(EOMONTH(DATE(Rok,$C$2,1),0)),DATE(Rok,$C$2,31),"")</f>
        <v/>
      </c>
      <c r="AH4" s="36" t="inlineStr">
        <is>
          <t>Urlop (U, UŻ)</t>
        </is>
      </c>
      <c r="AI4" s="36" t="inlineStr">
        <is>
          <t>L4</t>
        </is>
      </c>
      <c r="AJ4" s="36" t="inlineStr">
        <is>
          <t>Delegacja, szkolenie</t>
        </is>
      </c>
      <c r="AK4" s="36" t="inlineStr">
        <is>
          <t>Dni robocze w miesiącu</t>
        </is>
      </c>
      <c r="AL4" s="36" t="inlineStr">
        <is>
          <t>Nieobecność w dni robocze</t>
        </is>
      </c>
      <c r="AM4" s="36" t="inlineStr">
        <is>
          <t>Dni obecności</t>
        </is>
      </c>
    </row>
    <row r="5" ht="24" customHeight="1">
      <c r="A5" s="34" t="n"/>
      <c r="B5" s="34" t="n"/>
      <c r="C5" s="37">
        <f>IF(C4="","",C4)</f>
        <v/>
      </c>
      <c r="D5" s="37">
        <f>IF(D4="","",D4)</f>
        <v/>
      </c>
      <c r="E5" s="37">
        <f>IF(E4="","",E4)</f>
        <v/>
      </c>
      <c r="F5" s="37">
        <f>IF(F4="","",F4)</f>
        <v/>
      </c>
      <c r="G5" s="37">
        <f>IF(G4="","",G4)</f>
        <v/>
      </c>
      <c r="H5" s="37">
        <f>IF(H4="","",H4)</f>
        <v/>
      </c>
      <c r="I5" s="37">
        <f>IF(I4="","",I4)</f>
        <v/>
      </c>
      <c r="J5" s="37">
        <f>IF(J4="","",J4)</f>
        <v/>
      </c>
      <c r="K5" s="37">
        <f>IF(K4="","",K4)</f>
        <v/>
      </c>
      <c r="L5" s="37">
        <f>IF(L4="","",L4)</f>
        <v/>
      </c>
      <c r="M5" s="37">
        <f>IF(M4="","",M4)</f>
        <v/>
      </c>
      <c r="N5" s="37">
        <f>IF(N4="","",N4)</f>
        <v/>
      </c>
      <c r="O5" s="37">
        <f>IF(O4="","",O4)</f>
        <v/>
      </c>
      <c r="P5" s="37">
        <f>IF(P4="","",P4)</f>
        <v/>
      </c>
      <c r="Q5" s="37">
        <f>IF(Q4="","",Q4)</f>
        <v/>
      </c>
      <c r="R5" s="37">
        <f>IF(R4="","",R4)</f>
        <v/>
      </c>
      <c r="S5" s="37">
        <f>IF(S4="","",S4)</f>
        <v/>
      </c>
      <c r="T5" s="37">
        <f>IF(T4="","",T4)</f>
        <v/>
      </c>
      <c r="U5" s="37">
        <f>IF(U4="","",U4)</f>
        <v/>
      </c>
      <c r="V5" s="37">
        <f>IF(V4="","",V4)</f>
        <v/>
      </c>
      <c r="W5" s="37">
        <f>IF(W4="","",W4)</f>
        <v/>
      </c>
      <c r="X5" s="37">
        <f>IF(X4="","",X4)</f>
        <v/>
      </c>
      <c r="Y5" s="37">
        <f>IF(Y4="","",Y4)</f>
        <v/>
      </c>
      <c r="Z5" s="37">
        <f>IF(Z4="","",Z4)</f>
        <v/>
      </c>
      <c r="AA5" s="37">
        <f>IF(AA4="","",AA4)</f>
        <v/>
      </c>
      <c r="AB5" s="37">
        <f>IF(AB4="","",AB4)</f>
        <v/>
      </c>
      <c r="AC5" s="37">
        <f>IF(AC4="","",AC4)</f>
        <v/>
      </c>
      <c r="AD5" s="37">
        <f>IF(AD4="","",AD4)</f>
        <v/>
      </c>
      <c r="AE5" s="37">
        <f>IF(AE4="","",AE4)</f>
        <v/>
      </c>
      <c r="AF5" s="37">
        <f>IF(AF4="","",AF4)</f>
        <v/>
      </c>
      <c r="AG5" s="37">
        <f>IF(AG4="","",AG4)</f>
        <v/>
      </c>
    </row>
    <row r="6">
      <c r="A6" s="17" t="inlineStr">
        <is>
          <t>Anna Nowak</t>
        </is>
      </c>
      <c r="B6" s="17" t="inlineStr">
        <is>
          <t>Księgowość</t>
        </is>
      </c>
      <c r="C6" s="25" t="n"/>
      <c r="D6" s="25" t="n"/>
      <c r="E6" s="25" t="n"/>
      <c r="F6" s="25" t="inlineStr">
        <is>
          <t>U</t>
        </is>
      </c>
      <c r="G6" s="25" t="inlineStr">
        <is>
          <t>U</t>
        </is>
      </c>
      <c r="H6" s="25" t="n"/>
      <c r="I6" s="25" t="inlineStr">
        <is>
          <t>U</t>
        </is>
      </c>
      <c r="J6" s="25" t="inlineStr">
        <is>
          <t>U</t>
        </is>
      </c>
      <c r="K6" s="25" t="n"/>
      <c r="L6" s="25" t="n"/>
      <c r="M6" s="25" t="n"/>
      <c r="N6" s="25" t="n"/>
      <c r="O6" s="25" t="n"/>
      <c r="P6" s="25" t="n"/>
      <c r="Q6" s="25" t="n"/>
      <c r="R6" s="25" t="n"/>
      <c r="S6" s="25" t="n"/>
      <c r="T6" s="25" t="n"/>
      <c r="U6" s="25" t="n"/>
      <c r="V6" s="25" t="n"/>
      <c r="W6" s="25" t="n"/>
      <c r="X6" s="25" t="n"/>
      <c r="Y6" s="25" t="n"/>
      <c r="Z6" s="25" t="n"/>
      <c r="AA6" s="25" t="n"/>
      <c r="AB6" s="25" t="n"/>
      <c r="AC6" s="25" t="n"/>
      <c r="AD6" s="25" t="n"/>
      <c r="AE6" s="25" t="n"/>
      <c r="AF6" s="25" t="n"/>
      <c r="AG6" s="25" t="n"/>
      <c r="AH6" s="25">
        <f>COUNTIF(C6:AG6,"U")+COUNTIF(C6:AG6,"UŻ")</f>
        <v/>
      </c>
      <c r="AI6" s="25">
        <f>COUNTIF(C6:AG6,"L4")</f>
        <v/>
      </c>
      <c r="AJ6" s="25">
        <f>COUNTIF(C6:AG6,"D")+COUNTIF(C6:AG6,"S")</f>
        <v/>
      </c>
      <c r="AK6" s="25">
        <f>SUM($C$3:$AG$3)</f>
        <v/>
      </c>
      <c r="AL6" s="25">
        <f>SUMPRODUCT((C6:AG6&lt;&gt;"")*($C$3:$AG$3))</f>
        <v/>
      </c>
      <c r="AM6" s="38">
        <f>AK6-AL6</f>
        <v/>
      </c>
    </row>
    <row r="7">
      <c r="A7" s="17" t="inlineStr">
        <is>
          <t>Piotr Wiśniewski</t>
        </is>
      </c>
      <c r="B7" s="17" t="inlineStr">
        <is>
          <t>Księgowość</t>
        </is>
      </c>
      <c r="C7" s="25" t="n"/>
      <c r="D7" s="25" t="n"/>
      <c r="E7" s="25" t="n"/>
      <c r="F7" s="25" t="n"/>
      <c r="G7" s="25" t="n"/>
      <c r="H7" s="25" t="n"/>
      <c r="I7" s="25" t="inlineStr">
        <is>
          <t>S</t>
        </is>
      </c>
      <c r="J7" s="25" t="inlineStr">
        <is>
          <t>S</t>
        </is>
      </c>
      <c r="K7" s="25" t="n"/>
      <c r="L7" s="25" t="n"/>
      <c r="M7" s="25" t="n"/>
      <c r="N7" s="25" t="n"/>
      <c r="O7" s="25" t="n"/>
      <c r="P7" s="25" t="n"/>
      <c r="Q7" s="25" t="n"/>
      <c r="R7" s="25" t="n"/>
      <c r="S7" s="25" t="n"/>
      <c r="T7" s="25" t="n"/>
      <c r="U7" s="25" t="n"/>
      <c r="V7" s="25" t="n"/>
      <c r="W7" s="25" t="n"/>
      <c r="X7" s="25" t="n"/>
      <c r="Y7" s="25" t="n"/>
      <c r="Z7" s="25" t="n"/>
      <c r="AA7" s="25" t="n"/>
      <c r="AB7" s="25" t="n"/>
      <c r="AC7" s="25" t="n"/>
      <c r="AD7" s="25" t="n"/>
      <c r="AE7" s="25" t="n"/>
      <c r="AF7" s="25" t="n"/>
      <c r="AG7" s="25" t="n"/>
      <c r="AH7" s="25">
        <f>COUNTIF(C7:AG7,"U")+COUNTIF(C7:AG7,"UŻ")</f>
        <v/>
      </c>
      <c r="AI7" s="25">
        <f>COUNTIF(C7:AG7,"L4")</f>
        <v/>
      </c>
      <c r="AJ7" s="25">
        <f>COUNTIF(C7:AG7,"D")+COUNTIF(C7:AG7,"S")</f>
        <v/>
      </c>
      <c r="AK7" s="25">
        <f>SUM($C$3:$AG$3)</f>
        <v/>
      </c>
      <c r="AL7" s="25">
        <f>SUMPRODUCT((C7:AG7&lt;&gt;"")*($C$3:$AG$3))</f>
        <v/>
      </c>
      <c r="AM7" s="38">
        <f>AK7-AL7</f>
        <v/>
      </c>
    </row>
    <row r="8">
      <c r="A8" s="17" t="inlineStr">
        <is>
          <t>Katarzyna Lis</t>
        </is>
      </c>
      <c r="B8" s="17" t="inlineStr">
        <is>
          <t>Kadry</t>
        </is>
      </c>
      <c r="C8" s="25" t="n"/>
      <c r="D8" s="25" t="n"/>
      <c r="E8" s="25" t="n"/>
      <c r="F8" s="25" t="n"/>
      <c r="G8" s="25" t="n"/>
      <c r="H8" s="25" t="n"/>
      <c r="I8" s="25" t="n"/>
      <c r="J8" s="25" t="n"/>
      <c r="K8" s="25" t="n"/>
      <c r="L8" s="25" t="n"/>
      <c r="M8" s="25" t="n"/>
      <c r="N8" s="25" t="n"/>
      <c r="O8" s="25" t="n"/>
      <c r="P8" s="25" t="n"/>
      <c r="Q8" s="25" t="n"/>
      <c r="R8" s="25" t="n"/>
      <c r="S8" s="25" t="n"/>
      <c r="T8" s="25" t="inlineStr">
        <is>
          <t>L4</t>
        </is>
      </c>
      <c r="U8" s="25" t="inlineStr">
        <is>
          <t>L4</t>
        </is>
      </c>
      <c r="V8" s="25" t="inlineStr">
        <is>
          <t>L4</t>
        </is>
      </c>
      <c r="W8" s="25" t="inlineStr">
        <is>
          <t>L4</t>
        </is>
      </c>
      <c r="X8" s="25" t="inlineStr">
        <is>
          <t>L4</t>
        </is>
      </c>
      <c r="Y8" s="25" t="n"/>
      <c r="Z8" s="25" t="n"/>
      <c r="AA8" s="25" t="n"/>
      <c r="AB8" s="25" t="n"/>
      <c r="AC8" s="25" t="n"/>
      <c r="AD8" s="25" t="n"/>
      <c r="AE8" s="25" t="n"/>
      <c r="AF8" s="25" t="n"/>
      <c r="AG8" s="25" t="n"/>
      <c r="AH8" s="25">
        <f>COUNTIF(C8:AG8,"U")+COUNTIF(C8:AG8,"UŻ")</f>
        <v/>
      </c>
      <c r="AI8" s="25">
        <f>COUNTIF(C8:AG8,"L4")</f>
        <v/>
      </c>
      <c r="AJ8" s="25">
        <f>COUNTIF(C8:AG8,"D")+COUNTIF(C8:AG8,"S")</f>
        <v/>
      </c>
      <c r="AK8" s="25">
        <f>SUM($C$3:$AG$3)</f>
        <v/>
      </c>
      <c r="AL8" s="25">
        <f>SUMPRODUCT((C8:AG8&lt;&gt;"")*($C$3:$AG$3))</f>
        <v/>
      </c>
      <c r="AM8" s="38">
        <f>AK8-AL8</f>
        <v/>
      </c>
    </row>
    <row r="9">
      <c r="A9" s="17" t="inlineStr">
        <is>
          <t>Marek Zając</t>
        </is>
      </c>
      <c r="B9" s="17" t="inlineStr">
        <is>
          <t>Kadry</t>
        </is>
      </c>
      <c r="C9" s="25" t="n"/>
      <c r="D9" s="25" t="n"/>
      <c r="E9" s="25" t="n"/>
      <c r="F9" s="25" t="n"/>
      <c r="G9" s="25" t="n"/>
      <c r="H9" s="25" t="n"/>
      <c r="I9" s="25" t="inlineStr">
        <is>
          <t>UŻ</t>
        </is>
      </c>
      <c r="J9" s="25" t="inlineStr">
        <is>
          <t>U</t>
        </is>
      </c>
      <c r="K9" s="25" t="n"/>
      <c r="L9" s="25" t="n"/>
      <c r="M9" s="25" t="n"/>
      <c r="N9" s="25" t="n"/>
      <c r="O9" s="25" t="n"/>
      <c r="P9" s="25" t="n"/>
      <c r="Q9" s="25" t="n"/>
      <c r="R9" s="25" t="n"/>
      <c r="S9" s="25" t="n"/>
      <c r="T9" s="25" t="n"/>
      <c r="U9" s="25" t="n"/>
      <c r="V9" s="25" t="n"/>
      <c r="W9" s="25" t="n"/>
      <c r="X9" s="25" t="n"/>
      <c r="Y9" s="25" t="n"/>
      <c r="Z9" s="25" t="n"/>
      <c r="AA9" s="25" t="n"/>
      <c r="AB9" s="25" t="n"/>
      <c r="AC9" s="25" t="n"/>
      <c r="AD9" s="25" t="n"/>
      <c r="AE9" s="25" t="n"/>
      <c r="AF9" s="25" t="n"/>
      <c r="AG9" s="25" t="n"/>
      <c r="AH9" s="25">
        <f>COUNTIF(C9:AG9,"U")+COUNTIF(C9:AG9,"UŻ")</f>
        <v/>
      </c>
      <c r="AI9" s="25">
        <f>COUNTIF(C9:AG9,"L4")</f>
        <v/>
      </c>
      <c r="AJ9" s="25">
        <f>COUNTIF(C9:AG9,"D")+COUNTIF(C9:AG9,"S")</f>
        <v/>
      </c>
      <c r="AK9" s="25">
        <f>SUM($C$3:$AG$3)</f>
        <v/>
      </c>
      <c r="AL9" s="25">
        <f>SUMPRODUCT((C9:AG9&lt;&gt;"")*($C$3:$AG$3))</f>
        <v/>
      </c>
      <c r="AM9" s="38">
        <f>AK9-AL9</f>
        <v/>
      </c>
    </row>
    <row r="10">
      <c r="A10" s="17" t="n"/>
      <c r="B10" s="17" t="n"/>
      <c r="C10" s="25" t="n"/>
      <c r="D10" s="25" t="n"/>
      <c r="E10" s="25" t="n"/>
      <c r="F10" s="25" t="n"/>
      <c r="G10" s="25" t="n"/>
      <c r="H10" s="25" t="n"/>
      <c r="I10" s="25" t="n"/>
      <c r="J10" s="25" t="n"/>
      <c r="K10" s="25" t="n"/>
      <c r="L10" s="25" t="n"/>
      <c r="M10" s="25" t="n"/>
      <c r="N10" s="25" t="n"/>
      <c r="O10" s="25" t="n"/>
      <c r="P10" s="25" t="n"/>
      <c r="Q10" s="25" t="n"/>
      <c r="R10" s="25" t="n"/>
      <c r="S10" s="25" t="n"/>
      <c r="T10" s="25" t="n"/>
      <c r="U10" s="25" t="n"/>
      <c r="V10" s="25" t="n"/>
      <c r="W10" s="25" t="n"/>
      <c r="X10" s="25" t="n"/>
      <c r="Y10" s="25" t="n"/>
      <c r="Z10" s="25" t="n"/>
      <c r="AA10" s="25" t="n"/>
      <c r="AB10" s="25" t="n"/>
      <c r="AC10" s="25" t="n"/>
      <c r="AD10" s="25" t="n"/>
      <c r="AE10" s="25" t="n"/>
      <c r="AF10" s="25" t="n"/>
      <c r="AG10" s="25" t="n"/>
      <c r="AH10" s="25">
        <f>COUNTIF(C10:AG10,"U")+COUNTIF(C10:AG10,"UŻ")</f>
        <v/>
      </c>
      <c r="AI10" s="25">
        <f>COUNTIF(C10:AG10,"L4")</f>
        <v/>
      </c>
      <c r="AJ10" s="25">
        <f>COUNTIF(C10:AG10,"D")+COUNTIF(C10:AG10,"S")</f>
        <v/>
      </c>
      <c r="AK10" s="25">
        <f>SUM($C$3:$AG$3)</f>
        <v/>
      </c>
      <c r="AL10" s="25">
        <f>SUMPRODUCT((C10:AG10&lt;&gt;"")*($C$3:$AG$3))</f>
        <v/>
      </c>
      <c r="AM10" s="38">
        <f>AK10-AL10</f>
        <v/>
      </c>
    </row>
    <row r="11">
      <c r="A11" s="17" t="n"/>
      <c r="B11" s="17" t="n"/>
      <c r="C11" s="25" t="n"/>
      <c r="D11" s="25" t="n"/>
      <c r="E11" s="25" t="n"/>
      <c r="F11" s="25" t="n"/>
      <c r="G11" s="25" t="n"/>
      <c r="H11" s="25" t="n"/>
      <c r="I11" s="25" t="n"/>
      <c r="J11" s="25" t="n"/>
      <c r="K11" s="25" t="n"/>
      <c r="L11" s="25" t="n"/>
      <c r="M11" s="25" t="n"/>
      <c r="N11" s="25" t="n"/>
      <c r="O11" s="25" t="n"/>
      <c r="P11" s="25" t="n"/>
      <c r="Q11" s="25" t="n"/>
      <c r="R11" s="25" t="n"/>
      <c r="S11" s="25" t="n"/>
      <c r="T11" s="25" t="n"/>
      <c r="U11" s="25" t="n"/>
      <c r="V11" s="25" t="n"/>
      <c r="W11" s="25" t="n"/>
      <c r="X11" s="25" t="n"/>
      <c r="Y11" s="25" t="n"/>
      <c r="Z11" s="25" t="n"/>
      <c r="AA11" s="25" t="n"/>
      <c r="AB11" s="25" t="n"/>
      <c r="AC11" s="25" t="n"/>
      <c r="AD11" s="25" t="n"/>
      <c r="AE11" s="25" t="n"/>
      <c r="AF11" s="25" t="n"/>
      <c r="AG11" s="25" t="n"/>
      <c r="AH11" s="25">
        <f>COUNTIF(C11:AG11,"U")+COUNTIF(C11:AG11,"UŻ")</f>
        <v/>
      </c>
      <c r="AI11" s="25">
        <f>COUNTIF(C11:AG11,"L4")</f>
        <v/>
      </c>
      <c r="AJ11" s="25">
        <f>COUNTIF(C11:AG11,"D")+COUNTIF(C11:AG11,"S")</f>
        <v/>
      </c>
      <c r="AK11" s="25">
        <f>SUM($C$3:$AG$3)</f>
        <v/>
      </c>
      <c r="AL11" s="25">
        <f>SUMPRODUCT((C11:AG11&lt;&gt;"")*($C$3:$AG$3))</f>
        <v/>
      </c>
      <c r="AM11" s="38">
        <f>AK11-AL11</f>
        <v/>
      </c>
    </row>
    <row r="12">
      <c r="A12" s="17" t="n"/>
      <c r="B12" s="17" t="n"/>
      <c r="C12" s="25" t="n"/>
      <c r="D12" s="25" t="n"/>
      <c r="E12" s="25" t="n"/>
      <c r="F12" s="25" t="n"/>
      <c r="G12" s="25" t="n"/>
      <c r="H12" s="25" t="n"/>
      <c r="I12" s="25" t="n"/>
      <c r="J12" s="25" t="n"/>
      <c r="K12" s="25" t="n"/>
      <c r="L12" s="25" t="n"/>
      <c r="M12" s="25" t="n"/>
      <c r="N12" s="25" t="n"/>
      <c r="O12" s="25" t="n"/>
      <c r="P12" s="25" t="n"/>
      <c r="Q12" s="25" t="n"/>
      <c r="R12" s="25" t="n"/>
      <c r="S12" s="25" t="n"/>
      <c r="T12" s="25" t="n"/>
      <c r="U12" s="25" t="n"/>
      <c r="V12" s="25" t="n"/>
      <c r="W12" s="25" t="n"/>
      <c r="X12" s="25" t="n"/>
      <c r="Y12" s="25" t="n"/>
      <c r="Z12" s="25" t="n"/>
      <c r="AA12" s="25" t="n"/>
      <c r="AB12" s="25" t="n"/>
      <c r="AC12" s="25" t="n"/>
      <c r="AD12" s="25" t="n"/>
      <c r="AE12" s="25" t="n"/>
      <c r="AF12" s="25" t="n"/>
      <c r="AG12" s="25" t="n"/>
      <c r="AH12" s="25">
        <f>COUNTIF(C12:AG12,"U")+COUNTIF(C12:AG12,"UŻ")</f>
        <v/>
      </c>
      <c r="AI12" s="25">
        <f>COUNTIF(C12:AG12,"L4")</f>
        <v/>
      </c>
      <c r="AJ12" s="25">
        <f>COUNTIF(C12:AG12,"D")+COUNTIF(C12:AG12,"S")</f>
        <v/>
      </c>
      <c r="AK12" s="25">
        <f>SUM($C$3:$AG$3)</f>
        <v/>
      </c>
      <c r="AL12" s="25">
        <f>SUMPRODUCT((C12:AG12&lt;&gt;"")*($C$3:$AG$3))</f>
        <v/>
      </c>
      <c r="AM12" s="38">
        <f>AK12-AL12</f>
        <v/>
      </c>
    </row>
    <row r="13">
      <c r="A13" s="17" t="n"/>
      <c r="B13" s="17" t="n"/>
      <c r="C13" s="25" t="n"/>
      <c r="D13" s="25" t="n"/>
      <c r="E13" s="25" t="n"/>
      <c r="F13" s="25" t="n"/>
      <c r="G13" s="25" t="n"/>
      <c r="H13" s="25" t="n"/>
      <c r="I13" s="25" t="n"/>
      <c r="J13" s="25" t="n"/>
      <c r="K13" s="25" t="n"/>
      <c r="L13" s="25" t="n"/>
      <c r="M13" s="25" t="n"/>
      <c r="N13" s="25" t="n"/>
      <c r="O13" s="25" t="n"/>
      <c r="P13" s="25" t="n"/>
      <c r="Q13" s="25" t="n"/>
      <c r="R13" s="25" t="n"/>
      <c r="S13" s="25" t="n"/>
      <c r="T13" s="25" t="n"/>
      <c r="U13" s="25" t="n"/>
      <c r="V13" s="25" t="n"/>
      <c r="W13" s="25" t="n"/>
      <c r="X13" s="25" t="n"/>
      <c r="Y13" s="25" t="n"/>
      <c r="Z13" s="25" t="n"/>
      <c r="AA13" s="25" t="n"/>
      <c r="AB13" s="25" t="n"/>
      <c r="AC13" s="25" t="n"/>
      <c r="AD13" s="25" t="n"/>
      <c r="AE13" s="25" t="n"/>
      <c r="AF13" s="25" t="n"/>
      <c r="AG13" s="25" t="n"/>
      <c r="AH13" s="25">
        <f>COUNTIF(C13:AG13,"U")+COUNTIF(C13:AG13,"UŻ")</f>
        <v/>
      </c>
      <c r="AI13" s="25">
        <f>COUNTIF(C13:AG13,"L4")</f>
        <v/>
      </c>
      <c r="AJ13" s="25">
        <f>COUNTIF(C13:AG13,"D")+COUNTIF(C13:AG13,"S")</f>
        <v/>
      </c>
      <c r="AK13" s="25">
        <f>SUM($C$3:$AG$3)</f>
        <v/>
      </c>
      <c r="AL13" s="25">
        <f>SUMPRODUCT((C13:AG13&lt;&gt;"")*($C$3:$AG$3))</f>
        <v/>
      </c>
      <c r="AM13" s="38">
        <f>AK13-AL13</f>
        <v/>
      </c>
    </row>
    <row r="14">
      <c r="A14" s="17" t="n"/>
      <c r="B14" s="17" t="n"/>
      <c r="C14" s="25" t="n"/>
      <c r="D14" s="25" t="n"/>
      <c r="E14" s="25" t="n"/>
      <c r="F14" s="25" t="n"/>
      <c r="G14" s="25" t="n"/>
      <c r="H14" s="25" t="n"/>
      <c r="I14" s="25" t="n"/>
      <c r="J14" s="25" t="n"/>
      <c r="K14" s="25" t="n"/>
      <c r="L14" s="25" t="n"/>
      <c r="M14" s="25" t="n"/>
      <c r="N14" s="25" t="n"/>
      <c r="O14" s="25" t="n"/>
      <c r="P14" s="25" t="n"/>
      <c r="Q14" s="25" t="n"/>
      <c r="R14" s="25" t="n"/>
      <c r="S14" s="25" t="n"/>
      <c r="T14" s="25" t="n"/>
      <c r="U14" s="25" t="n"/>
      <c r="V14" s="25" t="n"/>
      <c r="W14" s="25" t="n"/>
      <c r="X14" s="25" t="n"/>
      <c r="Y14" s="25" t="n"/>
      <c r="Z14" s="25" t="n"/>
      <c r="AA14" s="25" t="n"/>
      <c r="AB14" s="25" t="n"/>
      <c r="AC14" s="25" t="n"/>
      <c r="AD14" s="25" t="n"/>
      <c r="AE14" s="25" t="n"/>
      <c r="AF14" s="25" t="n"/>
      <c r="AG14" s="25" t="n"/>
      <c r="AH14" s="25">
        <f>COUNTIF(C14:AG14,"U")+COUNTIF(C14:AG14,"UŻ")</f>
        <v/>
      </c>
      <c r="AI14" s="25">
        <f>COUNTIF(C14:AG14,"L4")</f>
        <v/>
      </c>
      <c r="AJ14" s="25">
        <f>COUNTIF(C14:AG14,"D")+COUNTIF(C14:AG14,"S")</f>
        <v/>
      </c>
      <c r="AK14" s="25">
        <f>SUM($C$3:$AG$3)</f>
        <v/>
      </c>
      <c r="AL14" s="25">
        <f>SUMPRODUCT((C14:AG14&lt;&gt;"")*($C$3:$AG$3))</f>
        <v/>
      </c>
      <c r="AM14" s="38">
        <f>AK14-AL14</f>
        <v/>
      </c>
    </row>
    <row r="15">
      <c r="A15" s="17" t="n"/>
      <c r="B15" s="17" t="n"/>
      <c r="C15" s="25" t="n"/>
      <c r="D15" s="25" t="n"/>
      <c r="E15" s="25" t="n"/>
      <c r="F15" s="25" t="n"/>
      <c r="G15" s="25" t="n"/>
      <c r="H15" s="25" t="n"/>
      <c r="I15" s="25" t="n"/>
      <c r="J15" s="25" t="n"/>
      <c r="K15" s="25" t="n"/>
      <c r="L15" s="25" t="n"/>
      <c r="M15" s="25" t="n"/>
      <c r="N15" s="25" t="n"/>
      <c r="O15" s="25" t="n"/>
      <c r="P15" s="25" t="n"/>
      <c r="Q15" s="25" t="n"/>
      <c r="R15" s="25" t="n"/>
      <c r="S15" s="25" t="n"/>
      <c r="T15" s="25" t="n"/>
      <c r="U15" s="25" t="n"/>
      <c r="V15" s="25" t="n"/>
      <c r="W15" s="25" t="n"/>
      <c r="X15" s="25" t="n"/>
      <c r="Y15" s="25" t="n"/>
      <c r="Z15" s="25" t="n"/>
      <c r="AA15" s="25" t="n"/>
      <c r="AB15" s="25" t="n"/>
      <c r="AC15" s="25" t="n"/>
      <c r="AD15" s="25" t="n"/>
      <c r="AE15" s="25" t="n"/>
      <c r="AF15" s="25" t="n"/>
      <c r="AG15" s="25" t="n"/>
      <c r="AH15" s="25">
        <f>COUNTIF(C15:AG15,"U")+COUNTIF(C15:AG15,"UŻ")</f>
        <v/>
      </c>
      <c r="AI15" s="25">
        <f>COUNTIF(C15:AG15,"L4")</f>
        <v/>
      </c>
      <c r="AJ15" s="25">
        <f>COUNTIF(C15:AG15,"D")+COUNTIF(C15:AG15,"S")</f>
        <v/>
      </c>
      <c r="AK15" s="25">
        <f>SUM($C$3:$AG$3)</f>
        <v/>
      </c>
      <c r="AL15" s="25">
        <f>SUMPRODUCT((C15:AG15&lt;&gt;"")*($C$3:$AG$3))</f>
        <v/>
      </c>
      <c r="AM15" s="38">
        <f>AK15-AL15</f>
        <v/>
      </c>
    </row>
    <row r="16">
      <c r="A16" s="17" t="n"/>
      <c r="B16" s="17" t="n"/>
      <c r="C16" s="25" t="n"/>
      <c r="D16" s="25" t="n"/>
      <c r="E16" s="25" t="n"/>
      <c r="F16" s="25" t="n"/>
      <c r="G16" s="25" t="n"/>
      <c r="H16" s="25" t="n"/>
      <c r="I16" s="25" t="n"/>
      <c r="J16" s="25" t="n"/>
      <c r="K16" s="25" t="n"/>
      <c r="L16" s="25" t="n"/>
      <c r="M16" s="25" t="n"/>
      <c r="N16" s="25" t="n"/>
      <c r="O16" s="25" t="n"/>
      <c r="P16" s="25" t="n"/>
      <c r="Q16" s="25" t="n"/>
      <c r="R16" s="25" t="n"/>
      <c r="S16" s="25" t="n"/>
      <c r="T16" s="25" t="n"/>
      <c r="U16" s="25" t="n"/>
      <c r="V16" s="25" t="n"/>
      <c r="W16" s="25" t="n"/>
      <c r="X16" s="25" t="n"/>
      <c r="Y16" s="25" t="n"/>
      <c r="Z16" s="25" t="n"/>
      <c r="AA16" s="25" t="n"/>
      <c r="AB16" s="25" t="n"/>
      <c r="AC16" s="25" t="n"/>
      <c r="AD16" s="25" t="n"/>
      <c r="AE16" s="25" t="n"/>
      <c r="AF16" s="25" t="n"/>
      <c r="AG16" s="25" t="n"/>
      <c r="AH16" s="25">
        <f>COUNTIF(C16:AG16,"U")+COUNTIF(C16:AG16,"UŻ")</f>
        <v/>
      </c>
      <c r="AI16" s="25">
        <f>COUNTIF(C16:AG16,"L4")</f>
        <v/>
      </c>
      <c r="AJ16" s="25">
        <f>COUNTIF(C16:AG16,"D")+COUNTIF(C16:AG16,"S")</f>
        <v/>
      </c>
      <c r="AK16" s="25">
        <f>SUM($C$3:$AG$3)</f>
        <v/>
      </c>
      <c r="AL16" s="25">
        <f>SUMPRODUCT((C16:AG16&lt;&gt;"")*($C$3:$AG$3))</f>
        <v/>
      </c>
      <c r="AM16" s="38">
        <f>AK16-AL16</f>
        <v/>
      </c>
    </row>
    <row r="17">
      <c r="A17" s="17" t="n"/>
      <c r="B17" s="17" t="n"/>
      <c r="C17" s="25" t="n"/>
      <c r="D17" s="25" t="n"/>
      <c r="E17" s="25" t="n"/>
      <c r="F17" s="25" t="n"/>
      <c r="G17" s="25" t="n"/>
      <c r="H17" s="25" t="n"/>
      <c r="I17" s="25" t="n"/>
      <c r="J17" s="25" t="n"/>
      <c r="K17" s="25" t="n"/>
      <c r="L17" s="25" t="n"/>
      <c r="M17" s="25" t="n"/>
      <c r="N17" s="25" t="n"/>
      <c r="O17" s="25" t="n"/>
      <c r="P17" s="25" t="n"/>
      <c r="Q17" s="25" t="n"/>
      <c r="R17" s="25" t="n"/>
      <c r="S17" s="25" t="n"/>
      <c r="T17" s="25" t="n"/>
      <c r="U17" s="25" t="n"/>
      <c r="V17" s="25" t="n"/>
      <c r="W17" s="25" t="n"/>
      <c r="X17" s="25" t="n"/>
      <c r="Y17" s="25" t="n"/>
      <c r="Z17" s="25" t="n"/>
      <c r="AA17" s="25" t="n"/>
      <c r="AB17" s="25" t="n"/>
      <c r="AC17" s="25" t="n"/>
      <c r="AD17" s="25" t="n"/>
      <c r="AE17" s="25" t="n"/>
      <c r="AF17" s="25" t="n"/>
      <c r="AG17" s="25" t="n"/>
      <c r="AH17" s="25">
        <f>COUNTIF(C17:AG17,"U")+COUNTIF(C17:AG17,"UŻ")</f>
        <v/>
      </c>
      <c r="AI17" s="25">
        <f>COUNTIF(C17:AG17,"L4")</f>
        <v/>
      </c>
      <c r="AJ17" s="25">
        <f>COUNTIF(C17:AG17,"D")+COUNTIF(C17:AG17,"S")</f>
        <v/>
      </c>
      <c r="AK17" s="25">
        <f>SUM($C$3:$AG$3)</f>
        <v/>
      </c>
      <c r="AL17" s="25">
        <f>SUMPRODUCT((C17:AG17&lt;&gt;"")*($C$3:$AG$3))</f>
        <v/>
      </c>
      <c r="AM17" s="38">
        <f>AK17-AL17</f>
        <v/>
      </c>
    </row>
    <row r="18">
      <c r="A18" s="17" t="n"/>
      <c r="B18" s="17" t="n"/>
      <c r="C18" s="25" t="n"/>
      <c r="D18" s="25" t="n"/>
      <c r="E18" s="25" t="n"/>
      <c r="F18" s="25" t="n"/>
      <c r="G18" s="25" t="n"/>
      <c r="H18" s="25" t="n"/>
      <c r="I18" s="25" t="n"/>
      <c r="J18" s="25" t="n"/>
      <c r="K18" s="25" t="n"/>
      <c r="L18" s="25" t="n"/>
      <c r="M18" s="25" t="n"/>
      <c r="N18" s="25" t="n"/>
      <c r="O18" s="25" t="n"/>
      <c r="P18" s="25" t="n"/>
      <c r="Q18" s="25" t="n"/>
      <c r="R18" s="25" t="n"/>
      <c r="S18" s="25" t="n"/>
      <c r="T18" s="25" t="n"/>
      <c r="U18" s="25" t="n"/>
      <c r="V18" s="25" t="n"/>
      <c r="W18" s="25" t="n"/>
      <c r="X18" s="25" t="n"/>
      <c r="Y18" s="25" t="n"/>
      <c r="Z18" s="25" t="n"/>
      <c r="AA18" s="25" t="n"/>
      <c r="AB18" s="25" t="n"/>
      <c r="AC18" s="25" t="n"/>
      <c r="AD18" s="25" t="n"/>
      <c r="AE18" s="25" t="n"/>
      <c r="AF18" s="25" t="n"/>
      <c r="AG18" s="25" t="n"/>
      <c r="AH18" s="25">
        <f>COUNTIF(C18:AG18,"U")+COUNTIF(C18:AG18,"UŻ")</f>
        <v/>
      </c>
      <c r="AI18" s="25">
        <f>COUNTIF(C18:AG18,"L4")</f>
        <v/>
      </c>
      <c r="AJ18" s="25">
        <f>COUNTIF(C18:AG18,"D")+COUNTIF(C18:AG18,"S")</f>
        <v/>
      </c>
      <c r="AK18" s="25">
        <f>SUM($C$3:$AG$3)</f>
        <v/>
      </c>
      <c r="AL18" s="25">
        <f>SUMPRODUCT((C18:AG18&lt;&gt;"")*($C$3:$AG$3))</f>
        <v/>
      </c>
      <c r="AM18" s="38">
        <f>AK18-AL18</f>
        <v/>
      </c>
    </row>
    <row r="19">
      <c r="A19" s="17" t="n"/>
      <c r="B19" s="17" t="n"/>
      <c r="C19" s="25" t="n"/>
      <c r="D19" s="25" t="n"/>
      <c r="E19" s="25" t="n"/>
      <c r="F19" s="25" t="n"/>
      <c r="G19" s="25" t="n"/>
      <c r="H19" s="25" t="n"/>
      <c r="I19" s="25" t="n"/>
      <c r="J19" s="25" t="n"/>
      <c r="K19" s="25" t="n"/>
      <c r="L19" s="25" t="n"/>
      <c r="M19" s="25" t="n"/>
      <c r="N19" s="25" t="n"/>
      <c r="O19" s="25" t="n"/>
      <c r="P19" s="25" t="n"/>
      <c r="Q19" s="25" t="n"/>
      <c r="R19" s="25" t="n"/>
      <c r="S19" s="25" t="n"/>
      <c r="T19" s="25" t="n"/>
      <c r="U19" s="25" t="n"/>
      <c r="V19" s="25" t="n"/>
      <c r="W19" s="25" t="n"/>
      <c r="X19" s="25" t="n"/>
      <c r="Y19" s="25" t="n"/>
      <c r="Z19" s="25" t="n"/>
      <c r="AA19" s="25" t="n"/>
      <c r="AB19" s="25" t="n"/>
      <c r="AC19" s="25" t="n"/>
      <c r="AD19" s="25" t="n"/>
      <c r="AE19" s="25" t="n"/>
      <c r="AF19" s="25" t="n"/>
      <c r="AG19" s="25" t="n"/>
      <c r="AH19" s="25">
        <f>COUNTIF(C19:AG19,"U")+COUNTIF(C19:AG19,"UŻ")</f>
        <v/>
      </c>
      <c r="AI19" s="25">
        <f>COUNTIF(C19:AG19,"L4")</f>
        <v/>
      </c>
      <c r="AJ19" s="25">
        <f>COUNTIF(C19:AG19,"D")+COUNTIF(C19:AG19,"S")</f>
        <v/>
      </c>
      <c r="AK19" s="25">
        <f>SUM($C$3:$AG$3)</f>
        <v/>
      </c>
      <c r="AL19" s="25">
        <f>SUMPRODUCT((C19:AG19&lt;&gt;"")*($C$3:$AG$3))</f>
        <v/>
      </c>
      <c r="AM19" s="38">
        <f>AK19-AL19</f>
        <v/>
      </c>
    </row>
    <row r="20">
      <c r="A20" s="17" t="n"/>
      <c r="B20" s="17" t="n"/>
      <c r="C20" s="25" t="n"/>
      <c r="D20" s="25" t="n"/>
      <c r="E20" s="25" t="n"/>
      <c r="F20" s="25" t="n"/>
      <c r="G20" s="25" t="n"/>
      <c r="H20" s="25" t="n"/>
      <c r="I20" s="25" t="n"/>
      <c r="J20" s="25" t="n"/>
      <c r="K20" s="25" t="n"/>
      <c r="L20" s="25" t="n"/>
      <c r="M20" s="25" t="n"/>
      <c r="N20" s="25" t="n"/>
      <c r="O20" s="25" t="n"/>
      <c r="P20" s="25" t="n"/>
      <c r="Q20" s="25" t="n"/>
      <c r="R20" s="25" t="n"/>
      <c r="S20" s="25" t="n"/>
      <c r="T20" s="25" t="n"/>
      <c r="U20" s="25" t="n"/>
      <c r="V20" s="25" t="n"/>
      <c r="W20" s="25" t="n"/>
      <c r="X20" s="25" t="n"/>
      <c r="Y20" s="25" t="n"/>
      <c r="Z20" s="25" t="n"/>
      <c r="AA20" s="25" t="n"/>
      <c r="AB20" s="25" t="n"/>
      <c r="AC20" s="25" t="n"/>
      <c r="AD20" s="25" t="n"/>
      <c r="AE20" s="25" t="n"/>
      <c r="AF20" s="25" t="n"/>
      <c r="AG20" s="25" t="n"/>
      <c r="AH20" s="25">
        <f>COUNTIF(C20:AG20,"U")+COUNTIF(C20:AG20,"UŻ")</f>
        <v/>
      </c>
      <c r="AI20" s="25">
        <f>COUNTIF(C20:AG20,"L4")</f>
        <v/>
      </c>
      <c r="AJ20" s="25">
        <f>COUNTIF(C20:AG20,"D")+COUNTIF(C20:AG20,"S")</f>
        <v/>
      </c>
      <c r="AK20" s="25">
        <f>SUM($C$3:$AG$3)</f>
        <v/>
      </c>
      <c r="AL20" s="25">
        <f>SUMPRODUCT((C20:AG20&lt;&gt;"")*($C$3:$AG$3))</f>
        <v/>
      </c>
      <c r="AM20" s="38">
        <f>AK20-AL20</f>
        <v/>
      </c>
    </row>
    <row r="21">
      <c r="A21" s="4" t="inlineStr">
        <is>
          <t>Nieobecni</t>
        </is>
      </c>
      <c r="B21" s="39">
        <f>CONCATENATE("limit: ",LimitNieobecnych)</f>
        <v/>
      </c>
      <c r="C21" s="40">
        <f>IF(C$4="","",COUNTIF(C6:C20,"?*"))</f>
        <v/>
      </c>
      <c r="D21" s="40">
        <f>IF(D$4="","",COUNTIF(D6:D20,"?*"))</f>
        <v/>
      </c>
      <c r="E21" s="40">
        <f>IF(E$4="","",COUNTIF(E6:E20,"?*"))</f>
        <v/>
      </c>
      <c r="F21" s="40">
        <f>IF(F$4="","",COUNTIF(F6:F20,"?*"))</f>
        <v/>
      </c>
      <c r="G21" s="40">
        <f>IF(G$4="","",COUNTIF(G6:G20,"?*"))</f>
        <v/>
      </c>
      <c r="H21" s="40">
        <f>IF(H$4="","",COUNTIF(H6:H20,"?*"))</f>
        <v/>
      </c>
      <c r="I21" s="40">
        <f>IF(I$4="","",COUNTIF(I6:I20,"?*"))</f>
        <v/>
      </c>
      <c r="J21" s="40">
        <f>IF(J$4="","",COUNTIF(J6:J20,"?*"))</f>
        <v/>
      </c>
      <c r="K21" s="40">
        <f>IF(K$4="","",COUNTIF(K6:K20,"?*"))</f>
        <v/>
      </c>
      <c r="L21" s="40">
        <f>IF(L$4="","",COUNTIF(L6:L20,"?*"))</f>
        <v/>
      </c>
      <c r="M21" s="40">
        <f>IF(M$4="","",COUNTIF(M6:M20,"?*"))</f>
        <v/>
      </c>
      <c r="N21" s="40">
        <f>IF(N$4="","",COUNTIF(N6:N20,"?*"))</f>
        <v/>
      </c>
      <c r="O21" s="40">
        <f>IF(O$4="","",COUNTIF(O6:O20,"?*"))</f>
        <v/>
      </c>
      <c r="P21" s="40">
        <f>IF(P$4="","",COUNTIF(P6:P20,"?*"))</f>
        <v/>
      </c>
      <c r="Q21" s="40">
        <f>IF(Q$4="","",COUNTIF(Q6:Q20,"?*"))</f>
        <v/>
      </c>
      <c r="R21" s="40">
        <f>IF(R$4="","",COUNTIF(R6:R20,"?*"))</f>
        <v/>
      </c>
      <c r="S21" s="40">
        <f>IF(S$4="","",COUNTIF(S6:S20,"?*"))</f>
        <v/>
      </c>
      <c r="T21" s="40">
        <f>IF(T$4="","",COUNTIF(T6:T20,"?*"))</f>
        <v/>
      </c>
      <c r="U21" s="40">
        <f>IF(U$4="","",COUNTIF(U6:U20,"?*"))</f>
        <v/>
      </c>
      <c r="V21" s="40">
        <f>IF(V$4="","",COUNTIF(V6:V20,"?*"))</f>
        <v/>
      </c>
      <c r="W21" s="40">
        <f>IF(W$4="","",COUNTIF(W6:W20,"?*"))</f>
        <v/>
      </c>
      <c r="X21" s="40">
        <f>IF(X$4="","",COUNTIF(X6:X20,"?*"))</f>
        <v/>
      </c>
      <c r="Y21" s="40">
        <f>IF(Y$4="","",COUNTIF(Y6:Y20,"?*"))</f>
        <v/>
      </c>
      <c r="Z21" s="40">
        <f>IF(Z$4="","",COUNTIF(Z6:Z20,"?*"))</f>
        <v/>
      </c>
      <c r="AA21" s="40">
        <f>IF(AA$4="","",COUNTIF(AA6:AA20,"?*"))</f>
        <v/>
      </c>
      <c r="AB21" s="40">
        <f>IF(AB$4="","",COUNTIF(AB6:AB20,"?*"))</f>
        <v/>
      </c>
      <c r="AC21" s="40">
        <f>IF(AC$4="","",COUNTIF(AC6:AC20,"?*"))</f>
        <v/>
      </c>
      <c r="AD21" s="40">
        <f>IF(AD$4="","",COUNTIF(AD6:AD20,"?*"))</f>
        <v/>
      </c>
      <c r="AE21" s="40">
        <f>IF(AE$4="","",COUNTIF(AE6:AE20,"?*"))</f>
        <v/>
      </c>
      <c r="AF21" s="40">
        <f>IF(AF$4="","",COUNTIF(AF6:AF20,"?*"))</f>
        <v/>
      </c>
      <c r="AG21" s="40">
        <f>IF(AG$4="","",COUNTIF(AG6:AG20,"?*"))</f>
        <v/>
      </c>
    </row>
    <row r="23">
      <c r="A23" s="4" t="inlineStr">
        <is>
          <t>Kody:</t>
        </is>
      </c>
    </row>
    <row r="24">
      <c r="A24" s="41" t="inlineStr">
        <is>
          <t>U - urlop wypoczynkowy</t>
        </is>
      </c>
      <c r="D24" s="15" t="inlineStr">
        <is>
          <t>Kolumny szare: weekend. Czerwone: święto. Żółte: dodatkowy dzień wolny (arkusz Ustawienia).</t>
        </is>
      </c>
    </row>
    <row r="25">
      <c r="A25" s="42" t="inlineStr">
        <is>
          <t>UŻ - urlop na żądanie</t>
        </is>
      </c>
      <c r="D25" s="15" t="inlineStr">
        <is>
          <t>Przykładowe wpisy w wierszach 6-9 można usunąć (Delete).</t>
        </is>
      </c>
    </row>
    <row r="26">
      <c r="A26" s="43" t="inlineStr">
        <is>
          <t>L4 - zwolnienie lekarskie</t>
        </is>
      </c>
    </row>
    <row r="27">
      <c r="A27" s="44" t="inlineStr">
        <is>
          <t>D - delegacja</t>
        </is>
      </c>
    </row>
    <row r="28">
      <c r="A28" s="45" t="inlineStr">
        <is>
          <t>S - szkolenie</t>
        </is>
      </c>
    </row>
  </sheetData>
  <mergeCells count="7">
    <mergeCell ref="AI4:AI5"/>
    <mergeCell ref="AJ4:AJ5"/>
    <mergeCell ref="AH4:AH5"/>
    <mergeCell ref="D2:J2"/>
    <mergeCell ref="AK4:AK5"/>
    <mergeCell ref="AM4:AM5"/>
    <mergeCell ref="AL4:AL5"/>
  </mergeCells>
  <conditionalFormatting sqref="C21:AG21">
    <cfRule type="expression" priority="1" dxfId="5" stopIfTrue="1">
      <formula>AND(C21&lt;&gt;"",C21&gt;LimitNieobecnych)</formula>
    </cfRule>
  </conditionalFormatting>
  <conditionalFormatting sqref="C6:AG20">
    <cfRule type="expression" priority="2" dxfId="6" stopIfTrue="1">
      <formula>C6="U"</formula>
    </cfRule>
    <cfRule type="expression" priority="3" dxfId="7" stopIfTrue="1">
      <formula>C6="UŻ"</formula>
    </cfRule>
    <cfRule type="expression" priority="4" dxfId="8" stopIfTrue="1">
      <formula>C6="L4"</formula>
    </cfRule>
    <cfRule type="expression" priority="5" dxfId="1" stopIfTrue="1">
      <formula>C6="D"</formula>
    </cfRule>
    <cfRule type="expression" priority="6" dxfId="9" stopIfTrue="1">
      <formula>C6="S"</formula>
    </cfRule>
    <cfRule type="expression" priority="7" dxfId="10" stopIfTrue="1">
      <formula>C$4=""</formula>
    </cfRule>
  </conditionalFormatting>
  <conditionalFormatting sqref="C6:AG21">
    <cfRule type="expression" priority="8" dxfId="11" stopIfTrue="1">
      <formula>COUNTIF(SwietaUstawowe,C$4)&gt;0</formula>
    </cfRule>
    <cfRule type="expression" priority="9" dxfId="12" stopIfTrue="1">
      <formula>COUNTIF(DniDodatkowe,C$4)&gt;0</formula>
    </cfRule>
    <cfRule type="expression" priority="10" dxfId="13" stopIfTrue="1">
      <formula>AND(C$4&lt;&gt;"",WEEKDAY(C$4,2)&gt;5)</formula>
    </cfRule>
  </conditionalFormatting>
  <dataValidations count="2">
    <dataValidation sqref="C2" showDropDown="0" showInputMessage="0" showErrorMessage="0" allowBlank="0" errorTitle="Miesiąc" error="Wpisz numer miesiąca od 1 do 12" type="whole" operator="between">
      <formula1>1</formula1>
      <formula2>12</formula2>
    </dataValidation>
    <dataValidation sqref="C6:AG20" showDropDown="0" showInputMessage="0" showErrorMessage="0" allowBlank="1" errorTitle="Kod" error="Wybierz kod z listy: U, UŻ, L4, D, S" type="list">
      <formula1>"U,UŻ,L4,D,S"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2026-11-04T10:03:13Z</dcterms:created>
  <dcterms:modified xmlns:dcterms="http://purl.org/dc/terms/" xmlns:xsi="http://www.w3.org/2001/XMLSchema-instance" xsi:type="dcterms:W3CDTF">2026-11-04T10:03:13Z</dcterms:modified>
</cp:coreProperties>
</file>